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432" activeTab="0"/>
  </bookViews>
  <sheets>
    <sheet name="Umanjenje" sheetId="1" r:id="rId1"/>
    <sheet name="Zatezna kam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11" authorId="0">
      <text>
        <r>
          <rPr>
            <sz val="9"/>
            <rFont val="Segoe UI"/>
            <family val="2"/>
          </rPr>
          <t>Овај износ пензије се може мењати. 
Остаља поља не дирати јер садрже формуле.</t>
        </r>
      </text>
    </comment>
    <comment ref="D53" authorId="0">
      <text>
        <r>
          <rPr>
            <sz val="10"/>
            <rFont val="Segoe UI"/>
            <family val="2"/>
          </rPr>
          <t>Овде додати износе 
смањења за наредни период</t>
        </r>
      </text>
    </comment>
    <comment ref="D54" authorId="0">
      <text>
        <r>
          <rPr>
            <sz val="10"/>
            <rFont val="Segoe UI"/>
            <family val="2"/>
          </rPr>
          <t>Овде додати износе 
смањења за наредни период</t>
        </r>
      </text>
    </comment>
    <comment ref="C10" authorId="0">
      <text>
        <r>
          <rPr>
            <b/>
            <sz val="9"/>
            <rFont val="Segoe UI"/>
            <family val="2"/>
          </rPr>
          <t>Упутство</t>
        </r>
        <r>
          <rPr>
            <sz val="9"/>
            <rFont val="Segoe UI"/>
            <family val="2"/>
          </rPr>
          <t xml:space="preserve">
у поље испод треба убацити </t>
        </r>
        <r>
          <rPr>
            <b/>
            <sz val="9"/>
            <rFont val="Segoe UI"/>
            <family val="2"/>
          </rPr>
          <t>број</t>
        </r>
        <r>
          <rPr>
            <sz val="9"/>
            <rFont val="Segoe UI"/>
            <family val="2"/>
          </rPr>
          <t xml:space="preserve"> већи од 25.000 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10"/>
            <rFont val="Segoe UI"/>
            <family val="2"/>
          </rPr>
          <t>Датум уплате,
валута</t>
        </r>
      </text>
    </comment>
  </commentList>
</comments>
</file>

<file path=xl/sharedStrings.xml><?xml version="1.0" encoding="utf-8"?>
<sst xmlns="http://schemas.openxmlformats.org/spreadsheetml/2006/main" count="37" uniqueCount="30">
  <si>
    <t>Месец  и 
година</t>
  </si>
  <si>
    <t>Пензија без 
смањења</t>
  </si>
  <si>
    <t>% повећања</t>
  </si>
  <si>
    <t>Смањење</t>
  </si>
  <si>
    <t>Смањење 
пензије</t>
  </si>
  <si>
    <t>% смањења</t>
  </si>
  <si>
    <t xml:space="preserve">Укупно </t>
  </si>
  <si>
    <t>Датум</t>
  </si>
  <si>
    <t>од</t>
  </si>
  <si>
    <t>до</t>
  </si>
  <si>
    <t>стопа</t>
  </si>
  <si>
    <t>Основица</t>
  </si>
  <si>
    <t>Камата</t>
  </si>
  <si>
    <t>Дуг</t>
  </si>
  <si>
    <r>
      <rPr>
        <b/>
        <sz val="12"/>
        <color indexed="10"/>
        <rFont val="arial"/>
        <family val="2"/>
      </rPr>
      <t>Камата</t>
    </r>
    <r>
      <rPr>
        <sz val="12"/>
        <color indexed="10"/>
        <rFont val="Arial"/>
        <family val="2"/>
      </rPr>
      <t xml:space="preserve"> </t>
    </r>
  </si>
  <si>
    <t>број
дана</t>
  </si>
  <si>
    <r>
      <t xml:space="preserve">Обрачун </t>
    </r>
    <r>
      <rPr>
        <sz val="16"/>
        <color indexed="10"/>
        <rFont val="Cambria"/>
        <family val="1"/>
      </rPr>
      <t>затезне</t>
    </r>
    <r>
      <rPr>
        <sz val="16"/>
        <rFont val="Cambria"/>
        <family val="1"/>
      </rPr>
      <t xml:space="preserve"> камате за дуговања из табеле ''</t>
    </r>
    <r>
      <rPr>
        <sz val="16"/>
        <color indexed="10"/>
        <rFont val="Cambria"/>
        <family val="1"/>
      </rPr>
      <t>Umanjenje</t>
    </r>
    <r>
      <rPr>
        <sz val="16"/>
        <rFont val="Cambria"/>
        <family val="1"/>
      </rPr>
      <t>'' 
по обрачунским периодима</t>
    </r>
  </si>
  <si>
    <t>За
месец</t>
  </si>
  <si>
    <t>Зат. камата</t>
  </si>
  <si>
    <t>Осн. дуг</t>
  </si>
  <si>
    <t>Основни дуг</t>
  </si>
  <si>
    <t>РБ</t>
  </si>
  <si>
    <t>Датум 
уплате</t>
  </si>
  <si>
    <t>Затезна
камата</t>
  </si>
  <si>
    <t>Лични обрачун смањења пензије са затезном каматом</t>
  </si>
  <si>
    <t>Умањена пензија</t>
  </si>
  <si>
    <t>Промене од</t>
  </si>
  <si>
    <r>
      <t xml:space="preserve">НАПОМЕНА: </t>
    </r>
    <r>
      <rPr>
        <sz val="11"/>
        <rFont val="Arial"/>
        <family val="2"/>
      </rPr>
      <t xml:space="preserve">за јануарску пензију 2018. повећану за 5% у овом прорачуну су повећане и границе за </t>
    </r>
    <r>
      <rPr>
        <b/>
        <u val="single"/>
        <sz val="11"/>
        <rFont val="Arial"/>
        <family val="2"/>
      </rPr>
      <t>исти</t>
    </r>
    <r>
      <rPr>
        <sz val="11"/>
        <rFont val="Arial"/>
        <family val="2"/>
      </rPr>
      <t xml:space="preserve"> проценат. 
Претходне границе од 25.000 и 40.000 су сада 25.375 и 40.600 динара. 
Од Нове године биће 26.643,75 динара и 42.630 динара.</t>
    </r>
  </si>
  <si>
    <r>
      <t>НАПОМЕНА:  НИШТА</t>
    </r>
    <r>
      <rPr>
        <sz val="10"/>
        <rFont val="Arial"/>
        <family val="2"/>
      </rPr>
      <t xml:space="preserve"> не мењати </t>
    </r>
    <r>
      <rPr>
        <b/>
        <sz val="10"/>
        <rFont val="Arial"/>
        <family val="2"/>
      </rPr>
      <t>осим</t>
    </r>
    <r>
      <rPr>
        <sz val="10"/>
        <rFont val="Arial"/>
        <family val="2"/>
      </rPr>
      <t xml:space="preserve"> износа  пензије пре смањења   (октобар, односно новембар 2014., тј. број црвеном бојом, поље C11), јер сва остала поља у оба листа садрже формуле или линкове! 
Свако следеће умањење пензије је процентуално </t>
    </r>
    <r>
      <rPr>
        <b/>
        <sz val="10"/>
        <rFont val="Arial"/>
        <family val="2"/>
      </rPr>
      <t>идентично</t>
    </r>
    <r>
      <rPr>
        <sz val="10"/>
        <rFont val="Arial"/>
        <family val="2"/>
      </rPr>
      <t xml:space="preserve"> повећању пензије.</t>
    </r>
  </si>
  <si>
    <r>
      <t xml:space="preserve">Преглед </t>
    </r>
    <r>
      <rPr>
        <b/>
        <sz val="11"/>
        <color indexed="10"/>
        <rFont val="Arial"/>
        <family val="2"/>
      </rPr>
      <t>параметара</t>
    </r>
    <r>
      <rPr>
        <sz val="11"/>
        <rFont val="Arial"/>
        <family val="2"/>
      </rPr>
      <t xml:space="preserve"> у 
формули за смањење</t>
    </r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</si>
</sst>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mmm/\ yyyy"/>
    <numFmt numFmtId="165" formatCode="0.0%"/>
    <numFmt numFmtId="166" formatCode="mmm/\ yyyy/"/>
    <numFmt numFmtId="167" formatCode="dd/mm/yyyy/;@"/>
    <numFmt numFmtId="168" formatCode="0.0000%"/>
    <numFmt numFmtId="169" formatCode="dd/mm/yyyy/"/>
    <numFmt numFmtId="170" formatCode="m/d/yyyy"/>
    <numFmt numFmtId="171" formatCode="0.0"/>
    <numFmt numFmtId="172" formatCode="dd/\ mmm/\ yyyy/"/>
    <numFmt numFmtId="173" formatCode="mmm/yyyy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6"/>
      <name val="Cambria"/>
      <family val="1"/>
    </font>
    <font>
      <sz val="16"/>
      <color indexed="10"/>
      <name val="Cambria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name val="Segoe UI"/>
      <family val="2"/>
    </font>
    <font>
      <sz val="11"/>
      <color indexed="8"/>
      <name val="Arial"/>
      <family val="2"/>
    </font>
    <font>
      <b/>
      <sz val="9"/>
      <name val="Segoe UI"/>
      <family val="2"/>
    </font>
    <font>
      <b/>
      <sz val="11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 tint="0.04998999834060669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4" fontId="2" fillId="0" borderId="14" xfId="0" applyNumberFormat="1" applyFont="1" applyBorder="1" applyAlignment="1">
      <alignment horizontal="center" vertical="center"/>
    </xf>
    <xf numFmtId="10" fontId="0" fillId="9" borderId="10" xfId="58" applyNumberFormat="1" applyFont="1" applyFill="1" applyBorder="1" applyAlignment="1">
      <alignment horizontal="center" vertical="center"/>
    </xf>
    <xf numFmtId="165" fontId="0" fillId="9" borderId="10" xfId="58" applyNumberFormat="1" applyFont="1" applyFill="1" applyBorder="1" applyAlignment="1">
      <alignment horizontal="center" vertical="center"/>
    </xf>
    <xf numFmtId="9" fontId="0" fillId="9" borderId="10" xfId="5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3" fillId="13" borderId="10" xfId="0" applyNumberFormat="1" applyFont="1" applyFill="1" applyBorder="1" applyAlignment="1">
      <alignment horizontal="center" vertical="center"/>
    </xf>
    <xf numFmtId="165" fontId="0" fillId="13" borderId="10" xfId="58" applyNumberFormat="1" applyFill="1" applyBorder="1" applyAlignment="1">
      <alignment horizontal="center" vertical="center"/>
    </xf>
    <xf numFmtId="0" fontId="7" fillId="0" borderId="0" xfId="46" applyFont="1" applyAlignment="1">
      <alignment horizontal="center"/>
      <protection/>
    </xf>
    <xf numFmtId="168" fontId="7" fillId="0" borderId="0" xfId="4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1" fillId="0" borderId="0" xfId="46" applyFont="1">
      <alignment/>
      <protection/>
    </xf>
    <xf numFmtId="0" fontId="57" fillId="0" borderId="0" xfId="46" applyFont="1">
      <alignment/>
      <protection/>
    </xf>
    <xf numFmtId="0" fontId="11" fillId="0" borderId="0" xfId="46" applyFont="1" applyAlignment="1">
      <alignment horizontal="center" vertical="center"/>
      <protection/>
    </xf>
    <xf numFmtId="167" fontId="11" fillId="0" borderId="0" xfId="46" applyNumberFormat="1" applyFont="1">
      <alignment/>
      <protection/>
    </xf>
    <xf numFmtId="0" fontId="11" fillId="0" borderId="0" xfId="46" applyFont="1" applyAlignment="1">
      <alignment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11" fillId="0" borderId="0" xfId="46" applyFont="1" applyBorder="1">
      <alignment/>
      <protection/>
    </xf>
    <xf numFmtId="4" fontId="7" fillId="0" borderId="0" xfId="46" applyNumberFormat="1" applyFont="1" applyAlignment="1">
      <alignment horizontal="right"/>
      <protection/>
    </xf>
    <xf numFmtId="4" fontId="11" fillId="0" borderId="0" xfId="46" applyNumberFormat="1" applyFont="1" applyBorder="1">
      <alignment/>
      <protection/>
    </xf>
    <xf numFmtId="1" fontId="11" fillId="0" borderId="0" xfId="46" applyNumberFormat="1" applyFont="1" applyBorder="1" applyAlignment="1">
      <alignment horizontal="center" vertical="center"/>
      <protection/>
    </xf>
    <xf numFmtId="0" fontId="8" fillId="34" borderId="10" xfId="46" applyFont="1" applyFill="1" applyBorder="1" applyAlignment="1">
      <alignment horizontal="center" vertical="center" wrapText="1"/>
      <protection/>
    </xf>
    <xf numFmtId="0" fontId="8" fillId="8" borderId="10" xfId="46" applyFont="1" applyFill="1" applyBorder="1" applyAlignment="1">
      <alignment horizontal="center" vertical="center" wrapText="1"/>
      <protection/>
    </xf>
    <xf numFmtId="172" fontId="11" fillId="0" borderId="10" xfId="46" applyNumberFormat="1" applyFont="1" applyBorder="1" applyAlignment="1">
      <alignment horizontal="center"/>
      <protection/>
    </xf>
    <xf numFmtId="169" fontId="11" fillId="0" borderId="10" xfId="46" applyNumberFormat="1" applyFont="1" applyBorder="1">
      <alignment/>
      <protection/>
    </xf>
    <xf numFmtId="1" fontId="11" fillId="0" borderId="10" xfId="46" applyNumberFormat="1" applyFont="1" applyBorder="1" applyAlignment="1">
      <alignment horizontal="center" vertical="center"/>
      <protection/>
    </xf>
    <xf numFmtId="10" fontId="11" fillId="0" borderId="10" xfId="46" applyNumberFormat="1" applyFont="1" applyBorder="1">
      <alignment/>
      <protection/>
    </xf>
    <xf numFmtId="4" fontId="11" fillId="35" borderId="10" xfId="46" applyNumberFormat="1" applyFont="1" applyFill="1" applyBorder="1">
      <alignment/>
      <protection/>
    </xf>
    <xf numFmtId="4" fontId="11" fillId="0" borderId="10" xfId="46" applyNumberFormat="1" applyFont="1" applyBorder="1">
      <alignment/>
      <protection/>
    </xf>
    <xf numFmtId="2" fontId="57" fillId="0" borderId="10" xfId="46" applyNumberFormat="1" applyFont="1" applyBorder="1">
      <alignment/>
      <protection/>
    </xf>
    <xf numFmtId="0" fontId="11" fillId="0" borderId="10" xfId="46" applyFont="1" applyBorder="1">
      <alignment/>
      <protection/>
    </xf>
    <xf numFmtId="0" fontId="57" fillId="0" borderId="10" xfId="46" applyFont="1" applyBorder="1">
      <alignment/>
      <protection/>
    </xf>
    <xf numFmtId="10" fontId="14" fillId="0" borderId="10" xfId="58" applyNumberFormat="1" applyFont="1" applyBorder="1" applyAlignment="1">
      <alignment/>
    </xf>
    <xf numFmtId="4" fontId="11" fillId="0" borderId="10" xfId="46" applyNumberFormat="1" applyFont="1" applyFill="1" applyBorder="1">
      <alignment/>
      <protection/>
    </xf>
    <xf numFmtId="0" fontId="11" fillId="0" borderId="10" xfId="46" applyFont="1" applyBorder="1" applyAlignment="1">
      <alignment horizontal="center" vertical="center"/>
      <protection/>
    </xf>
    <xf numFmtId="14" fontId="11" fillId="0" borderId="10" xfId="46" applyNumberFormat="1" applyFont="1" applyBorder="1">
      <alignment/>
      <protection/>
    </xf>
    <xf numFmtId="4" fontId="11" fillId="9" borderId="10" xfId="46" applyNumberFormat="1" applyFont="1" applyFill="1" applyBorder="1">
      <alignment/>
      <protection/>
    </xf>
    <xf numFmtId="4" fontId="11" fillId="13" borderId="10" xfId="46" applyNumberFormat="1" applyFont="1" applyFill="1" applyBorder="1">
      <alignment/>
      <protection/>
    </xf>
    <xf numFmtId="4" fontId="11" fillId="11" borderId="10" xfId="46" applyNumberFormat="1" applyFont="1" applyFill="1" applyBorder="1">
      <alignment/>
      <protection/>
    </xf>
    <xf numFmtId="4" fontId="11" fillId="0" borderId="0" xfId="46" applyNumberFormat="1" applyFont="1" applyBorder="1" applyAlignment="1">
      <alignment horizontal="center" vertical="center"/>
      <protection/>
    </xf>
    <xf numFmtId="171" fontId="11" fillId="0" borderId="0" xfId="46" applyNumberFormat="1" applyFont="1" applyBorder="1" applyAlignment="1">
      <alignment horizontal="center" vertical="center"/>
      <protection/>
    </xf>
    <xf numFmtId="4" fontId="11" fillId="0" borderId="0" xfId="46" applyNumberFormat="1" applyFont="1">
      <alignment/>
      <protection/>
    </xf>
    <xf numFmtId="170" fontId="7" fillId="0" borderId="0" xfId="46" applyNumberFormat="1" applyFont="1" applyAlignment="1">
      <alignment horizontal="center"/>
      <protection/>
    </xf>
    <xf numFmtId="10" fontId="7" fillId="0" borderId="0" xfId="46" applyNumberFormat="1" applyFont="1" applyAlignment="1">
      <alignment horizontal="right"/>
      <protection/>
    </xf>
    <xf numFmtId="0" fontId="7" fillId="0" borderId="0" xfId="46" applyFont="1" applyAlignment="1">
      <alignment horizontal="left"/>
      <protection/>
    </xf>
    <xf numFmtId="0" fontId="11" fillId="0" borderId="0" xfId="46" applyFont="1" applyAlignment="1">
      <alignment horizontal="center"/>
      <protection/>
    </xf>
    <xf numFmtId="4" fontId="11" fillId="0" borderId="10" xfId="46" applyNumberFormat="1" applyFont="1" applyBorder="1" applyAlignment="1">
      <alignment horizontal="center" vertical="center"/>
      <protection/>
    </xf>
    <xf numFmtId="171" fontId="11" fillId="0" borderId="10" xfId="46" applyNumberFormat="1" applyFont="1" applyBorder="1" applyAlignment="1">
      <alignment horizontal="center" vertical="center"/>
      <protection/>
    </xf>
    <xf numFmtId="167" fontId="11" fillId="0" borderId="10" xfId="46" applyNumberFormat="1" applyFont="1" applyBorder="1">
      <alignment/>
      <protection/>
    </xf>
    <xf numFmtId="166" fontId="11" fillId="0" borderId="10" xfId="46" applyNumberFormat="1" applyFont="1" applyBorder="1" applyAlignment="1">
      <alignment horizontal="left" vertical="center"/>
      <protection/>
    </xf>
    <xf numFmtId="4" fontId="57" fillId="0" borderId="10" xfId="46" applyNumberFormat="1" applyFont="1" applyBorder="1">
      <alignment/>
      <protection/>
    </xf>
    <xf numFmtId="4" fontId="11" fillId="0" borderId="0" xfId="46" applyNumberFormat="1" applyFont="1" applyAlignment="1">
      <alignment vertical="center"/>
      <protection/>
    </xf>
    <xf numFmtId="167" fontId="11" fillId="0" borderId="0" xfId="46" applyNumberFormat="1" applyFont="1" applyBorder="1">
      <alignment/>
      <protection/>
    </xf>
    <xf numFmtId="4" fontId="57" fillId="0" borderId="10" xfId="46" applyNumberFormat="1" applyFont="1" applyBorder="1" applyAlignment="1">
      <alignment vertical="center"/>
      <protection/>
    </xf>
    <xf numFmtId="167" fontId="11" fillId="33" borderId="10" xfId="46" applyNumberFormat="1" applyFont="1" applyFill="1" applyBorder="1" applyAlignment="1">
      <alignment horizontal="center" vertical="center"/>
      <protection/>
    </xf>
    <xf numFmtId="0" fontId="11" fillId="33" borderId="10" xfId="46" applyFont="1" applyFill="1" applyBorder="1" applyAlignment="1">
      <alignment horizontal="center" vertical="center"/>
      <protection/>
    </xf>
    <xf numFmtId="166" fontId="11" fillId="0" borderId="0" xfId="46" applyNumberFormat="1" applyFont="1" applyBorder="1" applyAlignment="1">
      <alignment horizontal="left" vertical="center"/>
      <protection/>
    </xf>
    <xf numFmtId="165" fontId="57" fillId="0" borderId="0" xfId="58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0" fillId="0" borderId="10" xfId="58" applyNumberFormat="1" applyBorder="1" applyAlignment="1">
      <alignment/>
    </xf>
    <xf numFmtId="173" fontId="14" fillId="33" borderId="10" xfId="0" applyNumberFormat="1" applyFont="1" applyFill="1" applyBorder="1" applyAlignment="1">
      <alignment/>
    </xf>
    <xf numFmtId="10" fontId="14" fillId="0" borderId="10" xfId="58" applyNumberFormat="1" applyFont="1" applyBorder="1" applyAlignment="1">
      <alignment/>
    </xf>
    <xf numFmtId="165" fontId="14" fillId="0" borderId="10" xfId="58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/>
    </xf>
    <xf numFmtId="4" fontId="3" fillId="13" borderId="10" xfId="58" applyNumberFormat="1" applyFont="1" applyFill="1" applyBorder="1" applyAlignment="1">
      <alignment horizontal="center" vertical="center"/>
    </xf>
    <xf numFmtId="166" fontId="2" fillId="17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4" fontId="3" fillId="8" borderId="17" xfId="0" applyNumberFormat="1" applyFont="1" applyFill="1" applyBorder="1" applyAlignment="1">
      <alignment horizontal="center" vertical="center"/>
    </xf>
    <xf numFmtId="4" fontId="3" fillId="13" borderId="11" xfId="0" applyNumberFormat="1" applyFont="1" applyFill="1" applyBorder="1" applyAlignment="1">
      <alignment horizontal="center" vertical="center"/>
    </xf>
    <xf numFmtId="4" fontId="58" fillId="3" borderId="11" xfId="0" applyNumberFormat="1" applyFont="1" applyFill="1" applyBorder="1" applyAlignment="1">
      <alignment horizontal="center" vertical="center"/>
    </xf>
    <xf numFmtId="2" fontId="59" fillId="36" borderId="10" xfId="0" applyNumberFormat="1" applyFont="1" applyFill="1" applyBorder="1" applyAlignment="1">
      <alignment horizontal="center" vertical="top" wrapText="1"/>
    </xf>
    <xf numFmtId="4" fontId="57" fillId="0" borderId="10" xfId="0" applyNumberFormat="1" applyFont="1" applyBorder="1" applyAlignment="1">
      <alignment/>
    </xf>
    <xf numFmtId="0" fontId="2" fillId="13" borderId="10" xfId="0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17" borderId="18" xfId="0" applyFont="1" applyFill="1" applyBorder="1" applyAlignment="1">
      <alignment horizontal="center"/>
    </xf>
    <xf numFmtId="0" fontId="2" fillId="17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wrapText="1"/>
    </xf>
    <xf numFmtId="0" fontId="2" fillId="37" borderId="19" xfId="0" applyFont="1" applyFill="1" applyBorder="1" applyAlignment="1">
      <alignment horizontal="center" wrapText="1"/>
    </xf>
    <xf numFmtId="0" fontId="9" fillId="0" borderId="0" xfId="46" applyFont="1" applyBorder="1" applyAlignment="1">
      <alignment horizontal="center" vertical="center" wrapText="1"/>
      <protection/>
    </xf>
    <xf numFmtId="0" fontId="15" fillId="34" borderId="13" xfId="46" applyFont="1" applyFill="1" applyBorder="1" applyAlignment="1">
      <alignment horizontal="center" vertical="center" wrapText="1"/>
      <protection/>
    </xf>
    <xf numFmtId="0" fontId="15" fillId="34" borderId="11" xfId="46" applyFont="1" applyFill="1" applyBorder="1" applyAlignment="1">
      <alignment horizontal="center" vertical="center"/>
      <protection/>
    </xf>
    <xf numFmtId="0" fontId="11" fillId="34" borderId="13" xfId="46" applyFont="1" applyFill="1" applyBorder="1" applyAlignment="1">
      <alignment horizontal="center" vertical="center"/>
      <protection/>
    </xf>
    <xf numFmtId="0" fontId="11" fillId="34" borderId="11" xfId="46" applyFont="1" applyFill="1" applyBorder="1" applyAlignment="1">
      <alignment horizontal="center" vertical="center"/>
      <protection/>
    </xf>
    <xf numFmtId="168" fontId="8" fillId="8" borderId="13" xfId="46" applyNumberFormat="1" applyFont="1" applyFill="1" applyBorder="1" applyAlignment="1">
      <alignment horizontal="center" vertical="center" wrapText="1"/>
      <protection/>
    </xf>
    <xf numFmtId="168" fontId="8" fillId="8" borderId="11" xfId="46" applyNumberFormat="1" applyFont="1" applyFill="1" applyBorder="1" applyAlignment="1">
      <alignment horizontal="center" vertical="center" wrapText="1"/>
      <protection/>
    </xf>
    <xf numFmtId="0" fontId="60" fillId="8" borderId="13" xfId="46" applyFont="1" applyFill="1" applyBorder="1" applyAlignment="1">
      <alignment horizontal="center" vertical="center"/>
      <protection/>
    </xf>
    <xf numFmtId="0" fontId="57" fillId="8" borderId="11" xfId="46" applyFont="1" applyFill="1" applyBorder="1" applyAlignment="1">
      <alignment horizontal="center" vertical="center"/>
      <protection/>
    </xf>
    <xf numFmtId="0" fontId="8" fillId="34" borderId="10" xfId="46" applyFont="1" applyFill="1" applyBorder="1" applyAlignment="1">
      <alignment horizontal="center" vertical="center" wrapText="1"/>
      <protection/>
    </xf>
    <xf numFmtId="0" fontId="8" fillId="8" borderId="10" xfId="46" applyFont="1" applyFill="1" applyBorder="1" applyAlignment="1">
      <alignment horizontal="center" vertical="center" wrapText="1"/>
      <protection/>
    </xf>
    <xf numFmtId="168" fontId="8" fillId="34" borderId="13" xfId="46" applyNumberFormat="1" applyFont="1" applyFill="1" applyBorder="1" applyAlignment="1">
      <alignment horizontal="center" vertical="center" wrapText="1"/>
      <protection/>
    </xf>
    <xf numFmtId="168" fontId="8" fillId="34" borderId="11" xfId="46" applyNumberFormat="1" applyFont="1" applyFill="1" applyBorder="1" applyAlignment="1">
      <alignment horizontal="center" vertical="center" wrapText="1"/>
      <protection/>
    </xf>
    <xf numFmtId="167" fontId="11" fillId="34" borderId="13" xfId="46" applyNumberFormat="1" applyFont="1" applyFill="1" applyBorder="1" applyAlignment="1">
      <alignment horizontal="center" vertical="center"/>
      <protection/>
    </xf>
    <xf numFmtId="167" fontId="11" fillId="34" borderId="11" xfId="46" applyNumberFormat="1" applyFont="1" applyFill="1" applyBorder="1" applyAlignment="1">
      <alignment horizontal="center" vertical="center"/>
      <protection/>
    </xf>
    <xf numFmtId="0" fontId="57" fillId="34" borderId="13" xfId="46" applyFont="1" applyFill="1" applyBorder="1" applyAlignment="1">
      <alignment horizontal="center" vertical="center"/>
      <protection/>
    </xf>
    <xf numFmtId="0" fontId="57" fillId="34" borderId="11" xfId="46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1" tint="0.34999001026153564"/>
  </sheetPr>
  <dimension ref="A2:M68"/>
  <sheetViews>
    <sheetView tabSelected="1" zoomScale="110" zoomScaleNormal="11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1" bestFit="1" customWidth="1"/>
    <col min="2" max="2" width="13.28125" style="1" customWidth="1"/>
    <col min="3" max="3" width="15.00390625" style="2" customWidth="1"/>
    <col min="4" max="4" width="12.140625" style="1" customWidth="1"/>
    <col min="5" max="5" width="12.28125" style="1" customWidth="1"/>
    <col min="6" max="6" width="11.140625" style="1" customWidth="1"/>
    <col min="7" max="7" width="11.28125" style="1" customWidth="1"/>
    <col min="8" max="8" width="4.28125" style="1" customWidth="1"/>
    <col min="9" max="9" width="7.00390625" style="1" customWidth="1"/>
    <col min="10" max="10" width="12.00390625" style="1" customWidth="1"/>
    <col min="11" max="11" width="11.28125" style="1" customWidth="1"/>
    <col min="12" max="12" width="10.140625" style="1" customWidth="1"/>
    <col min="13" max="13" width="10.8515625" style="1" customWidth="1"/>
    <col min="14" max="16384" width="9.140625" style="1" customWidth="1"/>
  </cols>
  <sheetData>
    <row r="1" ht="14.25"/>
    <row r="2" spans="1:7" ht="18">
      <c r="A2" s="111" t="s">
        <v>24</v>
      </c>
      <c r="B2" s="111"/>
      <c r="C2" s="111"/>
      <c r="D2" s="111"/>
      <c r="E2" s="111"/>
      <c r="F2" s="111"/>
      <c r="G2" s="111"/>
    </row>
    <row r="3" spans="1:7" ht="12" customHeight="1">
      <c r="A3" s="39"/>
      <c r="B3" s="39"/>
      <c r="C3" s="39"/>
      <c r="D3" s="39"/>
      <c r="E3" s="39"/>
      <c r="F3" s="39"/>
      <c r="G3" s="39"/>
    </row>
    <row r="4" spans="1:8" ht="12" customHeight="1">
      <c r="A4" s="114" t="s">
        <v>28</v>
      </c>
      <c r="B4" s="114"/>
      <c r="C4" s="114"/>
      <c r="D4" s="114"/>
      <c r="E4" s="114"/>
      <c r="F4" s="114"/>
      <c r="G4" s="114"/>
      <c r="H4" s="114"/>
    </row>
    <row r="5" spans="1:8" ht="12" customHeight="1">
      <c r="A5" s="114"/>
      <c r="B5" s="114"/>
      <c r="C5" s="114"/>
      <c r="D5" s="114"/>
      <c r="E5" s="114"/>
      <c r="F5" s="114"/>
      <c r="G5" s="114"/>
      <c r="H5" s="114"/>
    </row>
    <row r="6" spans="1:8" ht="12" customHeight="1">
      <c r="A6" s="114"/>
      <c r="B6" s="114"/>
      <c r="C6" s="114"/>
      <c r="D6" s="114"/>
      <c r="E6" s="114"/>
      <c r="F6" s="114"/>
      <c r="G6" s="114"/>
      <c r="H6" s="114"/>
    </row>
    <row r="7" spans="1:8" ht="16.5" customHeight="1">
      <c r="A7" s="114"/>
      <c r="B7" s="114"/>
      <c r="C7" s="114"/>
      <c r="D7" s="114"/>
      <c r="E7" s="114"/>
      <c r="F7" s="114"/>
      <c r="G7" s="114"/>
      <c r="H7" s="114"/>
    </row>
    <row r="8" ht="14.25">
      <c r="C8" s="4"/>
    </row>
    <row r="9" spans="1:7" ht="14.25">
      <c r="A9" s="117" t="s">
        <v>26</v>
      </c>
      <c r="B9" s="118"/>
      <c r="C9" s="100">
        <v>41944</v>
      </c>
      <c r="D9" s="100">
        <v>42309</v>
      </c>
      <c r="E9" s="100">
        <v>42370</v>
      </c>
      <c r="F9" s="100">
        <v>42705</v>
      </c>
      <c r="G9" s="100">
        <v>43101</v>
      </c>
    </row>
    <row r="10" spans="1:7" ht="30" customHeight="1">
      <c r="A10" s="112" t="s">
        <v>2</v>
      </c>
      <c r="B10" s="119"/>
      <c r="C10" s="107" t="str">
        <f>IF(ISNUMBER(C11),IF((C11&gt;25000)," ","Минимум 25.000 !!!"),"Убаците износ пензије у дин. ")</f>
        <v> </v>
      </c>
      <c r="D10" s="13">
        <v>0.0657</v>
      </c>
      <c r="E10" s="13">
        <v>0.0125</v>
      </c>
      <c r="F10" s="14">
        <v>0.015</v>
      </c>
      <c r="G10" s="15">
        <v>0.05</v>
      </c>
    </row>
    <row r="11" spans="1:12" ht="30" customHeight="1">
      <c r="A11" s="120" t="s">
        <v>1</v>
      </c>
      <c r="B11" s="121"/>
      <c r="C11" s="106">
        <v>50000</v>
      </c>
      <c r="D11" s="104">
        <f>ROUND(C11+C11*D10,2)</f>
        <v>53285</v>
      </c>
      <c r="E11" s="98">
        <f>ROUND(D11+D11*E10,2)</f>
        <v>53951.06</v>
      </c>
      <c r="F11" s="98">
        <f>ROUND(E11+E11*F10,2)</f>
        <v>54760.33</v>
      </c>
      <c r="G11" s="98">
        <f>ROUND(F11+F11*G10,2)</f>
        <v>57498.35</v>
      </c>
      <c r="K11" s="5"/>
      <c r="L11" s="5"/>
    </row>
    <row r="12" spans="1:13" ht="18" customHeight="1">
      <c r="A12" s="112" t="s">
        <v>3</v>
      </c>
      <c r="B12" s="119"/>
      <c r="C12" s="105">
        <f>ROUND(0.22*(C11-25000)*(C11&lt;=40000)+(0.25*(C11-40000)+3300)*(C11&gt;40000),2)</f>
        <v>5800</v>
      </c>
      <c r="D12" s="35">
        <f>ROUND(0.22*(D11-25000)*(D11&lt;=40000)+(0.25*(D11-40000)+3300)*(D11&gt;40000),2)</f>
        <v>6621.25</v>
      </c>
      <c r="E12" s="35">
        <f>ROUND(0.22*(E11-25000)*(E11&lt;=40000)+(0.25*(E11-40000)+3300)*(E11&gt;40000),2)</f>
        <v>6787.77</v>
      </c>
      <c r="F12" s="35">
        <f>ROUND((0.22*(F11-25375)*(F11&lt;=40600)+(0.25*(F11-40600)+3349.5)*(F11&gt;40600)),2)</f>
        <v>6889.58</v>
      </c>
      <c r="G12" s="35">
        <f>ROUND((0.22*(G11-26643.75)*(G11&lt;=42630)+(0.25*(G11-42630)+3516.98)*(G11&gt;42630)),2)</f>
        <v>7234.07</v>
      </c>
      <c r="K12" s="6"/>
      <c r="L12" s="6"/>
      <c r="M12" s="6"/>
    </row>
    <row r="13" spans="1:13" ht="18" customHeight="1">
      <c r="A13" s="112" t="s">
        <v>5</v>
      </c>
      <c r="B13" s="119"/>
      <c r="C13" s="36">
        <f>+C12/C11</f>
        <v>0.116</v>
      </c>
      <c r="D13" s="36">
        <f>+D12/D11</f>
        <v>0.12426104907572487</v>
      </c>
      <c r="E13" s="36">
        <f>+E12/E11</f>
        <v>0.12581346872517427</v>
      </c>
      <c r="F13" s="36">
        <f>+F12/F11</f>
        <v>0.12581333969316838</v>
      </c>
      <c r="G13" s="36">
        <f>+G12/G11</f>
        <v>0.12581352334458293</v>
      </c>
      <c r="K13" s="6"/>
      <c r="L13" s="6"/>
      <c r="M13" s="6"/>
    </row>
    <row r="14" spans="1:13" ht="18" customHeight="1">
      <c r="A14" s="112" t="s">
        <v>25</v>
      </c>
      <c r="B14" s="113"/>
      <c r="C14" s="99">
        <f>C11-C12</f>
        <v>44200</v>
      </c>
      <c r="D14" s="99">
        <f>D11-D12</f>
        <v>46663.75</v>
      </c>
      <c r="E14" s="99">
        <f>E11-E12</f>
        <v>47163.28999999999</v>
      </c>
      <c r="F14" s="99">
        <f>F11-F12</f>
        <v>47870.75</v>
      </c>
      <c r="G14" s="99">
        <f>G11-G12</f>
        <v>50264.28</v>
      </c>
      <c r="K14" s="6"/>
      <c r="L14" s="6"/>
      <c r="M14" s="6"/>
    </row>
    <row r="15" ht="14.25"/>
    <row r="16" spans="1:11" ht="31.5" customHeight="1">
      <c r="A16" s="87" t="s">
        <v>21</v>
      </c>
      <c r="B16" s="16" t="s">
        <v>0</v>
      </c>
      <c r="C16" s="16" t="s">
        <v>22</v>
      </c>
      <c r="D16" s="16" t="s">
        <v>4</v>
      </c>
      <c r="E16" s="16" t="s">
        <v>23</v>
      </c>
      <c r="J16" s="109" t="s">
        <v>29</v>
      </c>
      <c r="K16" s="110"/>
    </row>
    <row r="17" spans="1:11" ht="15">
      <c r="A17" s="88">
        <v>1</v>
      </c>
      <c r="B17" s="18">
        <v>41944</v>
      </c>
      <c r="C17" s="3">
        <v>41979</v>
      </c>
      <c r="D17" s="19">
        <f>C$12</f>
        <v>5800</v>
      </c>
      <c r="E17" s="19">
        <f>+'Zatezna kamata'!I5+'Zatezna kamata'!N5</f>
        <v>78.82</v>
      </c>
      <c r="J17" s="90">
        <v>42705</v>
      </c>
      <c r="K17" s="90">
        <v>43101</v>
      </c>
    </row>
    <row r="18" spans="1:11" ht="15">
      <c r="A18" s="88">
        <v>2</v>
      </c>
      <c r="B18" s="18">
        <v>41974</v>
      </c>
      <c r="C18" s="3">
        <v>42010</v>
      </c>
      <c r="D18" s="19">
        <f>C$12</f>
        <v>5800</v>
      </c>
      <c r="E18" s="19">
        <f>+'Zatezna kamata'!I6+'Zatezna kamata'!N6</f>
        <v>157.63</v>
      </c>
      <c r="J18" s="91">
        <v>0.015</v>
      </c>
      <c r="K18" s="92">
        <v>0.05</v>
      </c>
    </row>
    <row r="19" spans="1:11" ht="15">
      <c r="A19" s="88">
        <v>3</v>
      </c>
      <c r="B19" s="18">
        <v>42005</v>
      </c>
      <c r="C19" s="3">
        <v>42041</v>
      </c>
      <c r="D19" s="19">
        <f aca="true" t="shared" si="0" ref="D19:D28">C$12</f>
        <v>5800</v>
      </c>
      <c r="E19" s="19">
        <f>+'Zatezna kamata'!I7+'Zatezna kamata'!N7</f>
        <v>213.57</v>
      </c>
      <c r="J19" s="93">
        <f>25000*(1+J18)</f>
        <v>25374.999999999996</v>
      </c>
      <c r="K19" s="93">
        <f>J19*(1+K18)</f>
        <v>26643.749999999996</v>
      </c>
    </row>
    <row r="20" spans="1:11" ht="15">
      <c r="A20" s="88">
        <v>4</v>
      </c>
      <c r="B20" s="18">
        <v>42036</v>
      </c>
      <c r="C20" s="3">
        <v>42069</v>
      </c>
      <c r="D20" s="19">
        <f t="shared" si="0"/>
        <v>5800</v>
      </c>
      <c r="E20" s="19">
        <f>+'Zatezna kamata'!I8+'Zatezna kamata'!N8</f>
        <v>307.64</v>
      </c>
      <c r="J20" s="93">
        <f>40000*(1+J18)</f>
        <v>40599.99999999999</v>
      </c>
      <c r="K20" s="93">
        <f>J20*(1+K18)</f>
        <v>42629.99999999999</v>
      </c>
    </row>
    <row r="21" spans="1:11" ht="15">
      <c r="A21" s="88">
        <v>5</v>
      </c>
      <c r="B21" s="18">
        <v>42064</v>
      </c>
      <c r="C21" s="3">
        <v>42100</v>
      </c>
      <c r="D21" s="19">
        <f t="shared" si="0"/>
        <v>5800</v>
      </c>
      <c r="E21" s="19">
        <f>+'Zatezna kamata'!I9+'Zatezna kamata'!N9</f>
        <v>359.12</v>
      </c>
      <c r="J21" s="108">
        <f>(J20-J19)*0.22</f>
        <v>3349.499999999999</v>
      </c>
      <c r="K21" s="108">
        <f>(K20-K19)*0.22</f>
        <v>3516.974999999999</v>
      </c>
    </row>
    <row r="22" spans="1:11" ht="14.25">
      <c r="A22" s="88">
        <v>6</v>
      </c>
      <c r="B22" s="18">
        <v>42095</v>
      </c>
      <c r="C22" s="3">
        <v>42130</v>
      </c>
      <c r="D22" s="19">
        <f t="shared" si="0"/>
        <v>5800</v>
      </c>
      <c r="E22" s="19">
        <f>+'Zatezna kamata'!I10+'Zatezna kamata'!N10</f>
        <v>431.43</v>
      </c>
      <c r="J22" s="95"/>
      <c r="K22" s="95"/>
    </row>
    <row r="23" spans="1:11" ht="15">
      <c r="A23" s="88">
        <v>7</v>
      </c>
      <c r="B23" s="18">
        <v>42125</v>
      </c>
      <c r="C23" s="3">
        <v>42161</v>
      </c>
      <c r="D23" s="19">
        <f t="shared" si="0"/>
        <v>5800</v>
      </c>
      <c r="E23" s="19">
        <f>+'Zatezna kamata'!I11+'Zatezna kamata'!N11</f>
        <v>470.51</v>
      </c>
      <c r="H23" s="7"/>
      <c r="J23" s="95"/>
      <c r="K23" s="95"/>
    </row>
    <row r="24" spans="1:11" ht="14.25">
      <c r="A24" s="88">
        <v>8</v>
      </c>
      <c r="B24" s="18">
        <v>42156</v>
      </c>
      <c r="C24" s="3">
        <v>42191</v>
      </c>
      <c r="D24" s="19">
        <f t="shared" si="0"/>
        <v>5800</v>
      </c>
      <c r="E24" s="19">
        <f>+'Zatezna kamata'!I12+'Zatezna kamata'!N12</f>
        <v>551.72</v>
      </c>
      <c r="J24" s="94"/>
      <c r="K24" s="94"/>
    </row>
    <row r="25" spans="1:5" ht="14.25">
      <c r="A25" s="88">
        <v>9</v>
      </c>
      <c r="B25" s="18">
        <v>42186</v>
      </c>
      <c r="C25" s="3">
        <v>42222</v>
      </c>
      <c r="D25" s="19">
        <f t="shared" si="0"/>
        <v>5800</v>
      </c>
      <c r="E25" s="19">
        <f>+'Zatezna kamata'!I13+'Zatezna kamata'!N13</f>
        <v>604.24</v>
      </c>
    </row>
    <row r="26" spans="1:5" ht="14.25">
      <c r="A26" s="88">
        <v>10</v>
      </c>
      <c r="B26" s="18">
        <v>42217</v>
      </c>
      <c r="C26" s="3">
        <v>42253</v>
      </c>
      <c r="D26" s="19">
        <f t="shared" si="0"/>
        <v>5800</v>
      </c>
      <c r="E26" s="19">
        <f>+'Zatezna kamata'!I14+'Zatezna kamata'!N14</f>
        <v>623.7</v>
      </c>
    </row>
    <row r="27" spans="1:11" ht="14.25">
      <c r="A27" s="88">
        <v>11</v>
      </c>
      <c r="B27" s="18">
        <v>42248</v>
      </c>
      <c r="C27" s="3">
        <v>42283</v>
      </c>
      <c r="D27" s="19">
        <f t="shared" si="0"/>
        <v>5800</v>
      </c>
      <c r="E27" s="19">
        <f>+'Zatezna kamata'!I15+'Zatezna kamata'!N15</f>
        <v>685.19</v>
      </c>
      <c r="K27" s="6"/>
    </row>
    <row r="28" spans="1:5" ht="15" thickBot="1">
      <c r="A28" s="88">
        <v>12</v>
      </c>
      <c r="B28" s="21">
        <v>42278</v>
      </c>
      <c r="C28" s="9">
        <v>42314</v>
      </c>
      <c r="D28" s="22">
        <f t="shared" si="0"/>
        <v>5800</v>
      </c>
      <c r="E28" s="22">
        <f>+'Zatezna kamata'!I16+'Zatezna kamata'!N16</f>
        <v>715.07</v>
      </c>
    </row>
    <row r="29" spans="1:5" ht="14.25">
      <c r="A29" s="88">
        <v>13</v>
      </c>
      <c r="B29" s="24">
        <v>42309</v>
      </c>
      <c r="C29" s="12">
        <v>42344</v>
      </c>
      <c r="D29" s="25">
        <f>D$12</f>
        <v>6621.25</v>
      </c>
      <c r="E29" s="30">
        <f>+'Zatezna kamata'!I17+'Zatezna kamata'!N17</f>
        <v>809.2</v>
      </c>
    </row>
    <row r="30" spans="1:5" ht="15" thickBot="1">
      <c r="A30" s="88">
        <v>14</v>
      </c>
      <c r="B30" s="21">
        <v>42339</v>
      </c>
      <c r="C30" s="9">
        <v>42375</v>
      </c>
      <c r="D30" s="22">
        <f>D$12</f>
        <v>6621.25</v>
      </c>
      <c r="E30" s="22">
        <f>+'Zatezna kamata'!I18+'Zatezna kamata'!N18</f>
        <v>879.49</v>
      </c>
    </row>
    <row r="31" spans="1:5" ht="14.25">
      <c r="A31" s="88">
        <v>15</v>
      </c>
      <c r="B31" s="24">
        <v>42370</v>
      </c>
      <c r="C31" s="8">
        <v>42406</v>
      </c>
      <c r="D31" s="26">
        <f>E$12</f>
        <v>6787.77</v>
      </c>
      <c r="E31" s="30">
        <f>+'Zatezna kamata'!I19+'Zatezna kamata'!N19</f>
        <v>876.04</v>
      </c>
    </row>
    <row r="32" spans="1:5" ht="14.25">
      <c r="A32" s="88">
        <v>16</v>
      </c>
      <c r="B32" s="18">
        <v>42401</v>
      </c>
      <c r="C32" s="3">
        <v>42435</v>
      </c>
      <c r="D32" s="19">
        <f aca="true" t="shared" si="1" ref="D32:D41">E$12</f>
        <v>6787.77</v>
      </c>
      <c r="E32" s="19">
        <f>+'Zatezna kamata'!I20+'Zatezna kamata'!N20</f>
        <v>1003.14</v>
      </c>
    </row>
    <row r="33" spans="1:5" ht="14.25">
      <c r="A33" s="88">
        <v>17</v>
      </c>
      <c r="B33" s="18">
        <v>42430</v>
      </c>
      <c r="C33" s="3">
        <v>42466</v>
      </c>
      <c r="D33" s="19">
        <f t="shared" si="1"/>
        <v>6787.77</v>
      </c>
      <c r="E33" s="19">
        <f>+'Zatezna kamata'!I21+'Zatezna kamata'!N21</f>
        <v>1039.13</v>
      </c>
    </row>
    <row r="34" spans="1:5" ht="14.25">
      <c r="A34" s="88">
        <v>18</v>
      </c>
      <c r="B34" s="18">
        <v>42461</v>
      </c>
      <c r="C34" s="3">
        <v>42496</v>
      </c>
      <c r="D34" s="19">
        <f t="shared" si="1"/>
        <v>6787.77</v>
      </c>
      <c r="E34" s="19">
        <f>+'Zatezna kamata'!I22+'Zatezna kamata'!N22</f>
        <v>1144.39</v>
      </c>
    </row>
    <row r="35" spans="1:5" ht="14.25">
      <c r="A35" s="88">
        <v>19</v>
      </c>
      <c r="B35" s="18">
        <v>42491</v>
      </c>
      <c r="C35" s="3">
        <v>42527</v>
      </c>
      <c r="D35" s="19">
        <f t="shared" si="1"/>
        <v>6787.77</v>
      </c>
      <c r="E35" s="19">
        <f>+'Zatezna kamata'!I23+'Zatezna kamata'!N23</f>
        <v>1175.81</v>
      </c>
    </row>
    <row r="36" spans="1:5" ht="14.25">
      <c r="A36" s="88">
        <v>20</v>
      </c>
      <c r="B36" s="18">
        <v>42522</v>
      </c>
      <c r="C36" s="3">
        <v>42557</v>
      </c>
      <c r="D36" s="19">
        <f t="shared" si="1"/>
        <v>6787.77</v>
      </c>
      <c r="E36" s="19">
        <f>+'Zatezna kamata'!I24+'Zatezna kamata'!N24</f>
        <v>1261.0800000000002</v>
      </c>
    </row>
    <row r="37" spans="1:5" ht="14.25">
      <c r="A37" s="88">
        <v>21</v>
      </c>
      <c r="B37" s="18">
        <v>42552</v>
      </c>
      <c r="C37" s="3">
        <v>42588</v>
      </c>
      <c r="D37" s="19">
        <f t="shared" si="1"/>
        <v>6787.77</v>
      </c>
      <c r="E37" s="19">
        <f>+'Zatezna kamata'!I25+'Zatezna kamata'!N25</f>
        <v>1328.57</v>
      </c>
    </row>
    <row r="38" spans="1:5" ht="14.25">
      <c r="A38" s="88">
        <v>22</v>
      </c>
      <c r="B38" s="18">
        <v>42583</v>
      </c>
      <c r="C38" s="3">
        <v>42619</v>
      </c>
      <c r="D38" s="19">
        <f t="shared" si="1"/>
        <v>6787.77</v>
      </c>
      <c r="E38" s="19">
        <f>+'Zatezna kamata'!I26+'Zatezna kamata'!N26</f>
        <v>1352.66</v>
      </c>
    </row>
    <row r="39" spans="1:5" ht="14.25">
      <c r="A39" s="88">
        <v>23</v>
      </c>
      <c r="B39" s="18">
        <v>42614</v>
      </c>
      <c r="C39" s="3">
        <v>42649</v>
      </c>
      <c r="D39" s="19">
        <f t="shared" si="1"/>
        <v>6787.77</v>
      </c>
      <c r="E39" s="19">
        <f>+'Zatezna kamata'!I27+'Zatezna kamata'!N27</f>
        <v>1466.93</v>
      </c>
    </row>
    <row r="40" spans="1:5" ht="14.25">
      <c r="A40" s="88">
        <v>24</v>
      </c>
      <c r="B40" s="28">
        <v>42644</v>
      </c>
      <c r="C40" s="10">
        <v>42680</v>
      </c>
      <c r="D40" s="19">
        <f t="shared" si="1"/>
        <v>6787.77</v>
      </c>
      <c r="E40" s="19">
        <f>+'Zatezna kamata'!I28+'Zatezna kamata'!N28</f>
        <v>1486.56</v>
      </c>
    </row>
    <row r="41" spans="1:5" ht="15" thickBot="1">
      <c r="A41" s="88">
        <v>25</v>
      </c>
      <c r="B41" s="21">
        <v>42675</v>
      </c>
      <c r="C41" s="9">
        <v>42710</v>
      </c>
      <c r="D41" s="29">
        <f t="shared" si="1"/>
        <v>6787.77</v>
      </c>
      <c r="E41" s="22">
        <f>+'Zatezna kamata'!I29+'Zatezna kamata'!N29</f>
        <v>1605.29</v>
      </c>
    </row>
    <row r="42" spans="1:5" ht="14.25">
      <c r="A42" s="88">
        <v>26</v>
      </c>
      <c r="B42" s="24">
        <v>42705</v>
      </c>
      <c r="C42" s="8">
        <v>42741</v>
      </c>
      <c r="D42" s="30">
        <f>F$12</f>
        <v>6889.58</v>
      </c>
      <c r="E42" s="30">
        <f>+'Zatezna kamata'!I30+'Zatezna kamata'!N30</f>
        <v>1675.5</v>
      </c>
    </row>
    <row r="43" spans="1:5" ht="14.25">
      <c r="A43" s="88">
        <v>27</v>
      </c>
      <c r="B43" s="18">
        <v>42736</v>
      </c>
      <c r="C43" s="3">
        <v>42772</v>
      </c>
      <c r="D43" s="30">
        <f aca="true" t="shared" si="2" ref="D43:D52">F$12</f>
        <v>6889.58</v>
      </c>
      <c r="E43" s="19">
        <f>+'Zatezna kamata'!I31+'Zatezna kamata'!N31</f>
        <v>1576.78</v>
      </c>
    </row>
    <row r="44" spans="1:5" ht="14.25">
      <c r="A44" s="88">
        <v>28</v>
      </c>
      <c r="B44" s="18">
        <v>42767</v>
      </c>
      <c r="C44" s="3">
        <v>42800</v>
      </c>
      <c r="D44" s="30">
        <f t="shared" si="2"/>
        <v>6889.58</v>
      </c>
      <c r="E44" s="19">
        <f>+'Zatezna kamata'!I32+'Zatezna kamata'!N32</f>
        <v>1815.94</v>
      </c>
    </row>
    <row r="45" spans="1:5" ht="14.25">
      <c r="A45" s="88">
        <v>29</v>
      </c>
      <c r="B45" s="18">
        <v>42795</v>
      </c>
      <c r="C45" s="3">
        <v>42831</v>
      </c>
      <c r="D45" s="30">
        <f t="shared" si="2"/>
        <v>6889.58</v>
      </c>
      <c r="E45" s="19">
        <f>+'Zatezna kamata'!I33+'Zatezna kamata'!N33</f>
        <v>1825.31</v>
      </c>
    </row>
    <row r="46" spans="1:5" ht="14.25">
      <c r="A46" s="88">
        <v>30</v>
      </c>
      <c r="B46" s="18">
        <v>42826</v>
      </c>
      <c r="C46" s="3">
        <v>42861</v>
      </c>
      <c r="D46" s="30">
        <f t="shared" si="2"/>
        <v>6889.58</v>
      </c>
      <c r="E46" s="19">
        <f>+'Zatezna kamata'!I34+'Zatezna kamata'!N34</f>
        <v>1956.37</v>
      </c>
    </row>
    <row r="47" spans="1:5" ht="14.25">
      <c r="A47" s="88">
        <v>31</v>
      </c>
      <c r="B47" s="18">
        <v>42856</v>
      </c>
      <c r="C47" s="3">
        <v>42892</v>
      </c>
      <c r="D47" s="30">
        <f t="shared" si="2"/>
        <v>6889.58</v>
      </c>
      <c r="E47" s="19">
        <f>+'Zatezna kamata'!I35+'Zatezna kamata'!N35</f>
        <v>1961.22</v>
      </c>
    </row>
    <row r="48" spans="1:5" ht="14.25">
      <c r="A48" s="88">
        <v>32</v>
      </c>
      <c r="B48" s="18">
        <v>42887</v>
      </c>
      <c r="C48" s="3">
        <v>42922</v>
      </c>
      <c r="D48" s="30">
        <f t="shared" si="2"/>
        <v>6889.58</v>
      </c>
      <c r="E48" s="19">
        <f>+'Zatezna kamata'!I36+'Zatezna kamata'!N36</f>
        <v>2096.81</v>
      </c>
    </row>
    <row r="49" spans="1:5" ht="14.25">
      <c r="A49" s="88">
        <v>33</v>
      </c>
      <c r="B49" s="18">
        <v>42917</v>
      </c>
      <c r="C49" s="3">
        <v>42953</v>
      </c>
      <c r="D49" s="30">
        <f t="shared" si="2"/>
        <v>6889.58</v>
      </c>
      <c r="E49" s="19">
        <f>+'Zatezna kamata'!I37+'Zatezna kamata'!N37</f>
        <v>2167.02</v>
      </c>
    </row>
    <row r="50" spans="1:5" ht="14.25">
      <c r="A50" s="88">
        <v>34</v>
      </c>
      <c r="B50" s="18">
        <v>42948</v>
      </c>
      <c r="C50" s="3">
        <v>42984</v>
      </c>
      <c r="D50" s="30">
        <f t="shared" si="2"/>
        <v>6889.58</v>
      </c>
      <c r="E50" s="19">
        <f>+'Zatezna kamata'!I38+'Zatezna kamata'!N38</f>
        <v>2122.9700000000003</v>
      </c>
    </row>
    <row r="51" spans="1:5" ht="14.25">
      <c r="A51" s="88">
        <v>35</v>
      </c>
      <c r="B51" s="18">
        <v>42979</v>
      </c>
      <c r="C51" s="3">
        <v>43014</v>
      </c>
      <c r="D51" s="30">
        <f t="shared" si="2"/>
        <v>6889.58</v>
      </c>
      <c r="E51" s="19">
        <f>+'Zatezna kamata'!I39+'Zatezna kamata'!N39</f>
        <v>2217.51</v>
      </c>
    </row>
    <row r="52" spans="1:5" ht="14.25">
      <c r="A52" s="88">
        <v>36</v>
      </c>
      <c r="B52" s="18">
        <v>43009</v>
      </c>
      <c r="C52" s="3">
        <v>43045</v>
      </c>
      <c r="D52" s="30">
        <f t="shared" si="2"/>
        <v>6889.58</v>
      </c>
      <c r="E52" s="19">
        <f>+'Zatezna kamata'!I40+'Zatezna kamata'!N40</f>
        <v>0</v>
      </c>
    </row>
    <row r="53" spans="1:7" ht="14.25">
      <c r="A53" s="88">
        <v>37</v>
      </c>
      <c r="B53" s="18">
        <v>43040</v>
      </c>
      <c r="C53" s="3">
        <v>43075</v>
      </c>
      <c r="D53" s="30"/>
      <c r="E53" s="20"/>
      <c r="F53" s="101"/>
      <c r="G53" s="102"/>
    </row>
    <row r="54" spans="1:7" ht="15" thickBot="1">
      <c r="A54" s="88">
        <v>38</v>
      </c>
      <c r="B54" s="21">
        <v>43070</v>
      </c>
      <c r="C54" s="9">
        <v>43106</v>
      </c>
      <c r="D54" s="22"/>
      <c r="E54" s="23"/>
      <c r="F54" s="103"/>
      <c r="G54" s="102"/>
    </row>
    <row r="55" spans="1:7" ht="14.25">
      <c r="A55" s="88">
        <v>39</v>
      </c>
      <c r="B55" s="24">
        <v>43101</v>
      </c>
      <c r="C55" s="8">
        <v>43137</v>
      </c>
      <c r="D55" s="30"/>
      <c r="E55" s="27"/>
      <c r="F55" s="103"/>
      <c r="G55" s="102"/>
    </row>
    <row r="56" spans="1:7" ht="13.5">
      <c r="A56" s="88">
        <v>40</v>
      </c>
      <c r="B56" s="18">
        <v>43132</v>
      </c>
      <c r="C56" s="3">
        <v>43165</v>
      </c>
      <c r="D56" s="30"/>
      <c r="E56" s="20"/>
      <c r="F56" s="103"/>
      <c r="G56" s="102"/>
    </row>
    <row r="57" spans="1:7" ht="13.5">
      <c r="A57" s="88">
        <v>41</v>
      </c>
      <c r="B57" s="24">
        <v>43160</v>
      </c>
      <c r="C57" s="3">
        <v>43196</v>
      </c>
      <c r="D57" s="30"/>
      <c r="E57" s="20"/>
      <c r="F57" s="103"/>
      <c r="G57" s="102"/>
    </row>
    <row r="58" spans="1:7" ht="13.5">
      <c r="A58" s="88">
        <v>42</v>
      </c>
      <c r="B58" s="18">
        <v>43191</v>
      </c>
      <c r="C58" s="3">
        <v>43226</v>
      </c>
      <c r="D58" s="30"/>
      <c r="E58" s="20"/>
      <c r="F58" s="103"/>
      <c r="G58" s="102"/>
    </row>
    <row r="59" spans="1:7" ht="13.5">
      <c r="A59" s="88">
        <v>43</v>
      </c>
      <c r="B59" s="24">
        <v>43221</v>
      </c>
      <c r="C59" s="3">
        <v>43257</v>
      </c>
      <c r="D59" s="30"/>
      <c r="E59" s="20"/>
      <c r="F59" s="103"/>
      <c r="G59" s="102"/>
    </row>
    <row r="60" spans="1:5" ht="13.5">
      <c r="A60" s="96"/>
      <c r="B60" s="31"/>
      <c r="C60" s="32"/>
      <c r="D60" s="33"/>
      <c r="E60" s="34"/>
    </row>
    <row r="61" spans="2:5" ht="13.5">
      <c r="B61" s="31"/>
      <c r="C61" s="32"/>
      <c r="D61" s="97" t="s">
        <v>19</v>
      </c>
      <c r="E61" s="17" t="s">
        <v>18</v>
      </c>
    </row>
    <row r="62" spans="3:5" ht="13.5">
      <c r="C62" s="2" t="s">
        <v>6</v>
      </c>
      <c r="D62" s="11">
        <f>SUM(D17:D59)</f>
        <v>233293.34999999986</v>
      </c>
      <c r="E62" s="11">
        <f>SUM(E17:E59)</f>
        <v>40042.36</v>
      </c>
    </row>
    <row r="63" ht="13.5">
      <c r="E63" s="89">
        <f>E62/D62</f>
        <v>0.1716395259444816</v>
      </c>
    </row>
    <row r="65" spans="2:7" ht="13.5">
      <c r="B65" s="115" t="s">
        <v>27</v>
      </c>
      <c r="C65" s="116"/>
      <c r="D65" s="116"/>
      <c r="E65" s="116"/>
      <c r="F65" s="116"/>
      <c r="G65" s="116"/>
    </row>
    <row r="66" spans="2:7" ht="13.5">
      <c r="B66" s="116"/>
      <c r="C66" s="116"/>
      <c r="D66" s="116"/>
      <c r="E66" s="116"/>
      <c r="F66" s="116"/>
      <c r="G66" s="116"/>
    </row>
    <row r="67" spans="2:7" ht="13.5">
      <c r="B67" s="116"/>
      <c r="C67" s="116"/>
      <c r="D67" s="116"/>
      <c r="E67" s="116"/>
      <c r="F67" s="116"/>
      <c r="G67" s="116"/>
    </row>
    <row r="68" spans="2:7" ht="20.25" customHeight="1">
      <c r="B68" s="116"/>
      <c r="C68" s="116"/>
      <c r="D68" s="116"/>
      <c r="E68" s="116"/>
      <c r="F68" s="116"/>
      <c r="G68" s="116"/>
    </row>
  </sheetData>
  <sheetProtection selectLockedCells="1" selectUnlockedCells="1"/>
  <mergeCells count="10">
    <mergeCell ref="J16:K16"/>
    <mergeCell ref="A2:G2"/>
    <mergeCell ref="A14:B14"/>
    <mergeCell ref="A4:H7"/>
    <mergeCell ref="B65:G68"/>
    <mergeCell ref="A9:B9"/>
    <mergeCell ref="A10:B10"/>
    <mergeCell ref="A11:B11"/>
    <mergeCell ref="A12:B12"/>
    <mergeCell ref="A13:B13"/>
  </mergeCell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1" tint="0.34999001026153564"/>
  </sheetPr>
  <dimension ref="A1:P174"/>
  <sheetViews>
    <sheetView zoomScalePageLayoutView="0" workbookViewId="0" topLeftCell="A22">
      <selection activeCell="F51" sqref="F51"/>
    </sheetView>
  </sheetViews>
  <sheetFormatPr defaultColWidth="14.421875" defaultRowHeight="12.75"/>
  <cols>
    <col min="1" max="1" width="5.00390625" style="42" customWidth="1"/>
    <col min="2" max="2" width="13.421875" style="40" bestFit="1" customWidth="1"/>
    <col min="3" max="3" width="16.8515625" style="40" customWidth="1"/>
    <col min="4" max="4" width="13.421875" style="40" bestFit="1" customWidth="1"/>
    <col min="5" max="5" width="6.7109375" style="74" bestFit="1" customWidth="1"/>
    <col min="6" max="6" width="9.00390625" style="40" bestFit="1" customWidth="1"/>
    <col min="7" max="7" width="12.7109375" style="40" bestFit="1" customWidth="1"/>
    <col min="8" max="8" width="13.421875" style="40" customWidth="1"/>
    <col min="9" max="9" width="13.28125" style="40" customWidth="1"/>
    <col min="10" max="11" width="13.421875" style="40" bestFit="1" customWidth="1"/>
    <col min="12" max="12" width="6.7109375" style="40" bestFit="1" customWidth="1"/>
    <col min="13" max="13" width="9.00390625" style="42" bestFit="1" customWidth="1"/>
    <col min="14" max="14" width="10.140625" style="40" bestFit="1" customWidth="1"/>
    <col min="15" max="15" width="8.7109375" style="40" customWidth="1"/>
    <col min="16" max="16" width="11.00390625" style="43" bestFit="1" customWidth="1"/>
    <col min="17" max="17" width="8.7109375" style="40" customWidth="1"/>
    <col min="18" max="18" width="11.421875" style="40" customWidth="1"/>
    <col min="19" max="19" width="11.140625" style="40" customWidth="1"/>
    <col min="20" max="20" width="6.57421875" style="40" bestFit="1" customWidth="1"/>
    <col min="21" max="21" width="8.00390625" style="40" customWidth="1"/>
    <col min="22" max="22" width="8.57421875" style="40" bestFit="1" customWidth="1"/>
    <col min="23" max="16384" width="14.421875" style="40" customWidth="1"/>
  </cols>
  <sheetData>
    <row r="1" spans="3:12" ht="36.75" customHeight="1">
      <c r="C1" s="122" t="s">
        <v>16</v>
      </c>
      <c r="D1" s="122"/>
      <c r="E1" s="122"/>
      <c r="F1" s="122"/>
      <c r="G1" s="122"/>
      <c r="H1" s="122"/>
      <c r="I1" s="122"/>
      <c r="J1" s="122"/>
      <c r="L1" s="41"/>
    </row>
    <row r="2" spans="3:13" ht="15.75">
      <c r="C2" s="37"/>
      <c r="D2" s="37"/>
      <c r="E2" s="38"/>
      <c r="F2" s="37"/>
      <c r="G2" s="37"/>
      <c r="H2" s="37"/>
      <c r="I2" s="47"/>
      <c r="J2" s="37"/>
      <c r="K2" s="48"/>
      <c r="L2" s="46"/>
      <c r="M2" s="49"/>
    </row>
    <row r="3" spans="1:14" s="44" customFormat="1" ht="17.25" customHeight="1">
      <c r="A3" s="125" t="s">
        <v>21</v>
      </c>
      <c r="B3" s="123" t="s">
        <v>17</v>
      </c>
      <c r="C3" s="131" t="s">
        <v>7</v>
      </c>
      <c r="D3" s="131"/>
      <c r="E3" s="131" t="s">
        <v>15</v>
      </c>
      <c r="F3" s="133" t="s">
        <v>10</v>
      </c>
      <c r="G3" s="133" t="s">
        <v>13</v>
      </c>
      <c r="H3" s="135" t="s">
        <v>11</v>
      </c>
      <c r="I3" s="137" t="s">
        <v>14</v>
      </c>
      <c r="J3" s="132" t="s">
        <v>7</v>
      </c>
      <c r="K3" s="132"/>
      <c r="L3" s="132" t="s">
        <v>15</v>
      </c>
      <c r="M3" s="127" t="s">
        <v>10</v>
      </c>
      <c r="N3" s="129" t="s">
        <v>12</v>
      </c>
    </row>
    <row r="4" spans="1:14" s="44" customFormat="1" ht="17.25" customHeight="1">
      <c r="A4" s="126"/>
      <c r="B4" s="124"/>
      <c r="C4" s="50" t="s">
        <v>8</v>
      </c>
      <c r="D4" s="50" t="s">
        <v>9</v>
      </c>
      <c r="E4" s="131"/>
      <c r="F4" s="134"/>
      <c r="G4" s="134"/>
      <c r="H4" s="136"/>
      <c r="I4" s="138"/>
      <c r="J4" s="51" t="s">
        <v>8</v>
      </c>
      <c r="K4" s="51" t="s">
        <v>9</v>
      </c>
      <c r="L4" s="132"/>
      <c r="M4" s="128"/>
      <c r="N4" s="130"/>
    </row>
    <row r="5" spans="1:16" ht="15">
      <c r="A5" s="63">
        <v>1</v>
      </c>
      <c r="B5" s="78">
        <v>41944</v>
      </c>
      <c r="C5" s="52">
        <v>41979</v>
      </c>
      <c r="D5" s="53">
        <v>42009</v>
      </c>
      <c r="E5" s="54">
        <f>D5-C5+1</f>
        <v>31</v>
      </c>
      <c r="F5" s="55">
        <v>0.16</v>
      </c>
      <c r="G5" s="56">
        <f>+Umanjenje!C$12</f>
        <v>5800</v>
      </c>
      <c r="H5" s="57">
        <f>+G5</f>
        <v>5800</v>
      </c>
      <c r="I5" s="79">
        <f>ROUND(H5*F5/365*E5,2)</f>
        <v>78.82</v>
      </c>
      <c r="J5" s="59"/>
      <c r="K5" s="59"/>
      <c r="L5" s="59"/>
      <c r="M5" s="59"/>
      <c r="N5" s="60"/>
      <c r="P5" s="40"/>
    </row>
    <row r="6" spans="1:16" ht="15">
      <c r="A6" s="63">
        <v>2</v>
      </c>
      <c r="B6" s="78">
        <v>41974</v>
      </c>
      <c r="C6" s="52">
        <v>42010</v>
      </c>
      <c r="D6" s="53">
        <v>42040</v>
      </c>
      <c r="E6" s="54">
        <f>D6-C6+1</f>
        <v>31</v>
      </c>
      <c r="F6" s="55">
        <v>0.16</v>
      </c>
      <c r="G6" s="56">
        <f>+Umanjenje!C$12</f>
        <v>5800</v>
      </c>
      <c r="H6" s="57">
        <f>+H5+G6</f>
        <v>11600</v>
      </c>
      <c r="I6" s="79">
        <f aca="true" t="shared" si="0" ref="I6:I39">ROUND(H6*F6/365*E6,2)</f>
        <v>157.63</v>
      </c>
      <c r="J6" s="59"/>
      <c r="K6" s="59"/>
      <c r="L6" s="59"/>
      <c r="M6" s="59"/>
      <c r="N6" s="60"/>
      <c r="P6" s="40"/>
    </row>
    <row r="7" spans="1:16" ht="15">
      <c r="A7" s="63">
        <v>3</v>
      </c>
      <c r="B7" s="78">
        <v>42005</v>
      </c>
      <c r="C7" s="52">
        <v>42041</v>
      </c>
      <c r="D7" s="53">
        <v>42068</v>
      </c>
      <c r="E7" s="54">
        <f aca="true" t="shared" si="1" ref="E7:E39">D7-C7+1</f>
        <v>28</v>
      </c>
      <c r="F7" s="55">
        <v>0.16</v>
      </c>
      <c r="G7" s="56">
        <f>+Umanjenje!C$12</f>
        <v>5800</v>
      </c>
      <c r="H7" s="57">
        <f>+H6+G7</f>
        <v>17400</v>
      </c>
      <c r="I7" s="79">
        <f t="shared" si="0"/>
        <v>213.57</v>
      </c>
      <c r="J7" s="59"/>
      <c r="K7" s="59"/>
      <c r="L7" s="59"/>
      <c r="M7" s="59"/>
      <c r="N7" s="60"/>
      <c r="P7" s="40"/>
    </row>
    <row r="8" spans="1:16" ht="15">
      <c r="A8" s="63">
        <v>4</v>
      </c>
      <c r="B8" s="78">
        <v>42036</v>
      </c>
      <c r="C8" s="52">
        <v>42069</v>
      </c>
      <c r="D8" s="53">
        <v>42075</v>
      </c>
      <c r="E8" s="54">
        <f t="shared" si="1"/>
        <v>7</v>
      </c>
      <c r="F8" s="55">
        <v>0.16</v>
      </c>
      <c r="G8" s="56">
        <f>+Umanjenje!C$12</f>
        <v>5800</v>
      </c>
      <c r="H8" s="57">
        <f>+H7+G8</f>
        <v>23200</v>
      </c>
      <c r="I8" s="79">
        <f t="shared" si="0"/>
        <v>71.19</v>
      </c>
      <c r="J8" s="53">
        <v>42076</v>
      </c>
      <c r="K8" s="53">
        <v>42099</v>
      </c>
      <c r="L8" s="54">
        <f>+K8-J8+1</f>
        <v>24</v>
      </c>
      <c r="M8" s="61">
        <v>0.155</v>
      </c>
      <c r="N8" s="79">
        <f>ROUND(L8*M8*H8/365,2)</f>
        <v>236.45</v>
      </c>
      <c r="P8" s="40"/>
    </row>
    <row r="9" spans="1:16" ht="15">
      <c r="A9" s="63">
        <v>5</v>
      </c>
      <c r="B9" s="78">
        <v>42064</v>
      </c>
      <c r="C9" s="52">
        <v>42100</v>
      </c>
      <c r="D9" s="53">
        <v>42103</v>
      </c>
      <c r="E9" s="54">
        <f t="shared" si="1"/>
        <v>4</v>
      </c>
      <c r="F9" s="55">
        <v>0.155</v>
      </c>
      <c r="G9" s="56">
        <f>+Umanjenje!C$12</f>
        <v>5800</v>
      </c>
      <c r="H9" s="57">
        <f>+H8+G9</f>
        <v>29000</v>
      </c>
      <c r="I9" s="79">
        <f t="shared" si="0"/>
        <v>49.26</v>
      </c>
      <c r="J9" s="53">
        <v>42104</v>
      </c>
      <c r="K9" s="53">
        <v>42129</v>
      </c>
      <c r="L9" s="54">
        <f>+K9-J9+1</f>
        <v>26</v>
      </c>
      <c r="M9" s="61">
        <v>0.15</v>
      </c>
      <c r="N9" s="79">
        <f aca="true" t="shared" si="2" ref="N9:N24">ROUND(L9*M9*H9/365,2)</f>
        <v>309.86</v>
      </c>
      <c r="P9" s="40"/>
    </row>
    <row r="10" spans="1:16" ht="15">
      <c r="A10" s="63">
        <v>6</v>
      </c>
      <c r="B10" s="78">
        <v>42095</v>
      </c>
      <c r="C10" s="52">
        <v>42130</v>
      </c>
      <c r="D10" s="53">
        <v>42135</v>
      </c>
      <c r="E10" s="54">
        <f t="shared" si="1"/>
        <v>6</v>
      </c>
      <c r="F10" s="55">
        <v>0.15</v>
      </c>
      <c r="G10" s="56">
        <f>+Umanjenje!C$12</f>
        <v>5800</v>
      </c>
      <c r="H10" s="57">
        <f>+H9+G10</f>
        <v>34800</v>
      </c>
      <c r="I10" s="79">
        <f t="shared" si="0"/>
        <v>85.81</v>
      </c>
      <c r="J10" s="53">
        <v>42136</v>
      </c>
      <c r="K10" s="53">
        <v>42160</v>
      </c>
      <c r="L10" s="54">
        <f>+K10-J10+1</f>
        <v>25</v>
      </c>
      <c r="M10" s="61">
        <v>0.145</v>
      </c>
      <c r="N10" s="79">
        <f t="shared" si="2"/>
        <v>345.62</v>
      </c>
      <c r="P10" s="40"/>
    </row>
    <row r="11" spans="1:16" ht="15">
      <c r="A11" s="63">
        <v>7</v>
      </c>
      <c r="B11" s="78">
        <v>42125</v>
      </c>
      <c r="C11" s="52">
        <v>42161</v>
      </c>
      <c r="D11" s="53">
        <v>42166</v>
      </c>
      <c r="E11" s="54">
        <f t="shared" si="1"/>
        <v>6</v>
      </c>
      <c r="F11" s="55">
        <v>0.145</v>
      </c>
      <c r="G11" s="56">
        <f>+Umanjenje!C$12</f>
        <v>5800</v>
      </c>
      <c r="H11" s="62">
        <f>+H10+G11</f>
        <v>40600</v>
      </c>
      <c r="I11" s="79">
        <f t="shared" si="0"/>
        <v>96.77</v>
      </c>
      <c r="J11" s="53">
        <v>42167</v>
      </c>
      <c r="K11" s="53">
        <v>42190</v>
      </c>
      <c r="L11" s="54">
        <f>+K11-J11+1</f>
        <v>24</v>
      </c>
      <c r="M11" s="61">
        <v>0.14</v>
      </c>
      <c r="N11" s="79">
        <f t="shared" si="2"/>
        <v>373.74</v>
      </c>
      <c r="P11" s="40"/>
    </row>
    <row r="12" spans="1:16" ht="15">
      <c r="A12" s="63">
        <v>8</v>
      </c>
      <c r="B12" s="78">
        <v>42156</v>
      </c>
      <c r="C12" s="52">
        <v>42191</v>
      </c>
      <c r="D12" s="53">
        <v>42221</v>
      </c>
      <c r="E12" s="54">
        <f t="shared" si="1"/>
        <v>31</v>
      </c>
      <c r="F12" s="55">
        <v>0.14</v>
      </c>
      <c r="G12" s="56">
        <f>+Umanjenje!C$12</f>
        <v>5800</v>
      </c>
      <c r="H12" s="57">
        <f>+H11+G12</f>
        <v>46400</v>
      </c>
      <c r="I12" s="79">
        <f t="shared" si="0"/>
        <v>551.72</v>
      </c>
      <c r="J12" s="53"/>
      <c r="K12" s="53"/>
      <c r="L12" s="54"/>
      <c r="M12" s="61"/>
      <c r="N12" s="79">
        <f t="shared" si="2"/>
        <v>0</v>
      </c>
      <c r="P12" s="40"/>
    </row>
    <row r="13" spans="1:16" ht="15">
      <c r="A13" s="63">
        <v>9</v>
      </c>
      <c r="B13" s="78">
        <v>42186</v>
      </c>
      <c r="C13" s="52">
        <v>42222</v>
      </c>
      <c r="D13" s="53">
        <v>42229</v>
      </c>
      <c r="E13" s="54">
        <f t="shared" si="1"/>
        <v>8</v>
      </c>
      <c r="F13" s="55">
        <v>0.14</v>
      </c>
      <c r="G13" s="56">
        <f>+Umanjenje!C$12</f>
        <v>5800</v>
      </c>
      <c r="H13" s="57">
        <f>+H12+G13</f>
        <v>52200</v>
      </c>
      <c r="I13" s="79">
        <f t="shared" si="0"/>
        <v>160.18</v>
      </c>
      <c r="J13" s="53">
        <v>42230</v>
      </c>
      <c r="K13" s="53">
        <v>42252</v>
      </c>
      <c r="L13" s="54">
        <f>+K13-J13+1</f>
        <v>23</v>
      </c>
      <c r="M13" s="61">
        <v>0.135</v>
      </c>
      <c r="N13" s="79">
        <f t="shared" si="2"/>
        <v>444.06</v>
      </c>
      <c r="P13" s="40"/>
    </row>
    <row r="14" spans="1:16" ht="15">
      <c r="A14" s="63">
        <v>10</v>
      </c>
      <c r="B14" s="78">
        <v>42217</v>
      </c>
      <c r="C14" s="52">
        <v>42253</v>
      </c>
      <c r="D14" s="53">
        <v>42257</v>
      </c>
      <c r="E14" s="63">
        <f t="shared" si="1"/>
        <v>5</v>
      </c>
      <c r="F14" s="55">
        <v>0.135</v>
      </c>
      <c r="G14" s="56">
        <f>+Umanjenje!C$12</f>
        <v>5800</v>
      </c>
      <c r="H14" s="57">
        <f>+H13+G14</f>
        <v>58000</v>
      </c>
      <c r="I14" s="79">
        <f t="shared" si="0"/>
        <v>107.26</v>
      </c>
      <c r="J14" s="53">
        <f>+D14+1</f>
        <v>42258</v>
      </c>
      <c r="K14" s="53">
        <v>42282</v>
      </c>
      <c r="L14" s="54">
        <f>+K14-J14+1</f>
        <v>25</v>
      </c>
      <c r="M14" s="61">
        <v>0.13</v>
      </c>
      <c r="N14" s="79">
        <f t="shared" si="2"/>
        <v>516.44</v>
      </c>
      <c r="P14" s="40"/>
    </row>
    <row r="15" spans="1:16" ht="15">
      <c r="A15" s="63">
        <v>11</v>
      </c>
      <c r="B15" s="78">
        <v>42248</v>
      </c>
      <c r="C15" s="52">
        <v>42283</v>
      </c>
      <c r="D15" s="64">
        <v>42291</v>
      </c>
      <c r="E15" s="63">
        <f t="shared" si="1"/>
        <v>9</v>
      </c>
      <c r="F15" s="55">
        <v>0.13</v>
      </c>
      <c r="G15" s="56">
        <f>+Umanjenje!C$12</f>
        <v>5800</v>
      </c>
      <c r="H15" s="57">
        <f>+H14+G15</f>
        <v>63800</v>
      </c>
      <c r="I15" s="79">
        <f t="shared" si="0"/>
        <v>204.51</v>
      </c>
      <c r="J15" s="53">
        <f>+D15+1</f>
        <v>42292</v>
      </c>
      <c r="K15" s="53">
        <v>42313</v>
      </c>
      <c r="L15" s="54">
        <f>+K15-J15+1</f>
        <v>22</v>
      </c>
      <c r="M15" s="61">
        <v>0.125</v>
      </c>
      <c r="N15" s="79">
        <f t="shared" si="2"/>
        <v>480.68</v>
      </c>
      <c r="P15" s="40"/>
    </row>
    <row r="16" spans="1:16" ht="15">
      <c r="A16" s="63">
        <v>12</v>
      </c>
      <c r="B16" s="78">
        <v>42278</v>
      </c>
      <c r="C16" s="52">
        <v>42314</v>
      </c>
      <c r="D16" s="64">
        <v>42343</v>
      </c>
      <c r="E16" s="63">
        <f t="shared" si="1"/>
        <v>30</v>
      </c>
      <c r="F16" s="55">
        <v>0.125</v>
      </c>
      <c r="G16" s="56">
        <f>+Umanjenje!C$12</f>
        <v>5800</v>
      </c>
      <c r="H16" s="57">
        <f>+H15+G16</f>
        <v>69600</v>
      </c>
      <c r="I16" s="79">
        <f t="shared" si="0"/>
        <v>715.07</v>
      </c>
      <c r="J16" s="59"/>
      <c r="K16" s="59"/>
      <c r="L16" s="59"/>
      <c r="M16" s="61"/>
      <c r="N16" s="79"/>
      <c r="P16" s="40"/>
    </row>
    <row r="17" spans="1:16" ht="15">
      <c r="A17" s="63">
        <v>13</v>
      </c>
      <c r="B17" s="78">
        <v>42309</v>
      </c>
      <c r="C17" s="52">
        <v>42344</v>
      </c>
      <c r="D17" s="64">
        <v>42374</v>
      </c>
      <c r="E17" s="63">
        <f t="shared" si="1"/>
        <v>31</v>
      </c>
      <c r="F17" s="55">
        <v>0.125</v>
      </c>
      <c r="G17" s="65">
        <f>+Umanjenje!D$12</f>
        <v>6621.25</v>
      </c>
      <c r="H17" s="57">
        <f>+H16+G17</f>
        <v>76221.25</v>
      </c>
      <c r="I17" s="79">
        <f t="shared" si="0"/>
        <v>809.2</v>
      </c>
      <c r="J17" s="59"/>
      <c r="K17" s="59"/>
      <c r="L17" s="59"/>
      <c r="M17" s="61"/>
      <c r="N17" s="79"/>
      <c r="P17" s="40"/>
    </row>
    <row r="18" spans="1:16" ht="15">
      <c r="A18" s="63">
        <v>14</v>
      </c>
      <c r="B18" s="78">
        <v>42339</v>
      </c>
      <c r="C18" s="52">
        <v>42375</v>
      </c>
      <c r="D18" s="64">
        <v>42405</v>
      </c>
      <c r="E18" s="63">
        <f t="shared" si="1"/>
        <v>31</v>
      </c>
      <c r="F18" s="55">
        <v>0.125</v>
      </c>
      <c r="G18" s="65">
        <f>+Umanjenje!D$12</f>
        <v>6621.25</v>
      </c>
      <c r="H18" s="57">
        <f>+H17+G18</f>
        <v>82842.5</v>
      </c>
      <c r="I18" s="79">
        <f t="shared" si="0"/>
        <v>879.49</v>
      </c>
      <c r="J18" s="59"/>
      <c r="K18" s="59"/>
      <c r="L18" s="59"/>
      <c r="M18" s="61"/>
      <c r="N18" s="79"/>
      <c r="P18" s="40"/>
    </row>
    <row r="19" spans="1:16" ht="15">
      <c r="A19" s="63">
        <v>15</v>
      </c>
      <c r="B19" s="78">
        <v>42370</v>
      </c>
      <c r="C19" s="52">
        <v>42406</v>
      </c>
      <c r="D19" s="64">
        <v>42411</v>
      </c>
      <c r="E19" s="63">
        <f t="shared" si="1"/>
        <v>6</v>
      </c>
      <c r="F19" s="55">
        <v>0.125</v>
      </c>
      <c r="G19" s="66">
        <f>+Umanjenje!E$12</f>
        <v>6787.77</v>
      </c>
      <c r="H19" s="57">
        <f>+H18+G19</f>
        <v>89630.27</v>
      </c>
      <c r="I19" s="79">
        <f t="shared" si="0"/>
        <v>184.17</v>
      </c>
      <c r="J19" s="53">
        <f>+D19+1</f>
        <v>42412</v>
      </c>
      <c r="K19" s="64">
        <v>42434</v>
      </c>
      <c r="L19" s="54">
        <f>+K19-J19+1</f>
        <v>23</v>
      </c>
      <c r="M19" s="61">
        <v>0.1225</v>
      </c>
      <c r="N19" s="79">
        <f t="shared" si="2"/>
        <v>691.87</v>
      </c>
      <c r="P19" s="40"/>
    </row>
    <row r="20" spans="1:16" ht="15">
      <c r="A20" s="63">
        <v>16</v>
      </c>
      <c r="B20" s="78">
        <v>42401</v>
      </c>
      <c r="C20" s="52">
        <v>42435</v>
      </c>
      <c r="D20" s="64">
        <v>42465</v>
      </c>
      <c r="E20" s="63">
        <f t="shared" si="1"/>
        <v>31</v>
      </c>
      <c r="F20" s="55">
        <v>0.1225</v>
      </c>
      <c r="G20" s="66">
        <f>+Umanjenje!E$12</f>
        <v>6787.77</v>
      </c>
      <c r="H20" s="57">
        <f>+H19+G20</f>
        <v>96418.04000000001</v>
      </c>
      <c r="I20" s="79">
        <f t="shared" si="0"/>
        <v>1003.14</v>
      </c>
      <c r="J20" s="59"/>
      <c r="K20" s="59"/>
      <c r="L20" s="59"/>
      <c r="M20" s="61"/>
      <c r="N20" s="79"/>
      <c r="P20" s="40"/>
    </row>
    <row r="21" spans="1:16" ht="15">
      <c r="A21" s="63">
        <v>17</v>
      </c>
      <c r="B21" s="78">
        <v>42430</v>
      </c>
      <c r="C21" s="52">
        <v>42466</v>
      </c>
      <c r="D21" s="64">
        <v>42495</v>
      </c>
      <c r="E21" s="63">
        <f t="shared" si="1"/>
        <v>30</v>
      </c>
      <c r="F21" s="55">
        <v>0.1225</v>
      </c>
      <c r="G21" s="66">
        <f>+Umanjenje!E$12</f>
        <v>6787.77</v>
      </c>
      <c r="H21" s="57">
        <f>+H20+G21</f>
        <v>103205.81000000001</v>
      </c>
      <c r="I21" s="79">
        <f t="shared" si="0"/>
        <v>1039.13</v>
      </c>
      <c r="J21" s="59"/>
      <c r="K21" s="59"/>
      <c r="L21" s="59"/>
      <c r="M21" s="61"/>
      <c r="N21" s="79"/>
      <c r="P21" s="40"/>
    </row>
    <row r="22" spans="1:16" ht="15">
      <c r="A22" s="63">
        <v>18</v>
      </c>
      <c r="B22" s="78">
        <v>42461</v>
      </c>
      <c r="C22" s="52">
        <v>42496</v>
      </c>
      <c r="D22" s="64">
        <v>42526</v>
      </c>
      <c r="E22" s="63">
        <f t="shared" si="1"/>
        <v>31</v>
      </c>
      <c r="F22" s="55">
        <v>0.1225</v>
      </c>
      <c r="G22" s="66">
        <f>+Umanjenje!E$12</f>
        <v>6787.77</v>
      </c>
      <c r="H22" s="57">
        <f>+H21+G22</f>
        <v>109993.58000000002</v>
      </c>
      <c r="I22" s="79">
        <f t="shared" si="0"/>
        <v>1144.39</v>
      </c>
      <c r="J22" s="59"/>
      <c r="K22" s="59"/>
      <c r="L22" s="59"/>
      <c r="M22" s="61"/>
      <c r="N22" s="79"/>
      <c r="P22" s="40"/>
    </row>
    <row r="23" spans="1:16" ht="15">
      <c r="A23" s="63">
        <v>19</v>
      </c>
      <c r="B23" s="78">
        <v>42491</v>
      </c>
      <c r="C23" s="52">
        <v>42527</v>
      </c>
      <c r="D23" s="64">
        <v>42556</v>
      </c>
      <c r="E23" s="63">
        <f t="shared" si="1"/>
        <v>30</v>
      </c>
      <c r="F23" s="55">
        <v>0.1225</v>
      </c>
      <c r="G23" s="66">
        <f>+Umanjenje!E$12</f>
        <v>6787.77</v>
      </c>
      <c r="H23" s="57">
        <f>+H22+G23</f>
        <v>116781.35000000002</v>
      </c>
      <c r="I23" s="79">
        <f t="shared" si="0"/>
        <v>1175.81</v>
      </c>
      <c r="J23" s="59"/>
      <c r="K23" s="59"/>
      <c r="L23" s="59"/>
      <c r="M23" s="61"/>
      <c r="N23" s="79"/>
      <c r="P23" s="40"/>
    </row>
    <row r="24" spans="1:16" ht="15">
      <c r="A24" s="63">
        <v>20</v>
      </c>
      <c r="B24" s="78">
        <v>42522</v>
      </c>
      <c r="C24" s="52">
        <v>42557</v>
      </c>
      <c r="D24" s="64">
        <v>42558</v>
      </c>
      <c r="E24" s="63">
        <f t="shared" si="1"/>
        <v>2</v>
      </c>
      <c r="F24" s="55">
        <v>0.1225</v>
      </c>
      <c r="G24" s="66">
        <f>+Umanjenje!E$12</f>
        <v>6787.77</v>
      </c>
      <c r="H24" s="57">
        <f>+H23+G24</f>
        <v>123569.12000000002</v>
      </c>
      <c r="I24" s="79">
        <f t="shared" si="0"/>
        <v>82.94</v>
      </c>
      <c r="J24" s="53">
        <f>+D24+1</f>
        <v>42559</v>
      </c>
      <c r="K24" s="64">
        <v>42587</v>
      </c>
      <c r="L24" s="54">
        <f>+K24-J24+1</f>
        <v>29</v>
      </c>
      <c r="M24" s="61">
        <v>0.12</v>
      </c>
      <c r="N24" s="79">
        <f t="shared" si="2"/>
        <v>1178.14</v>
      </c>
      <c r="P24" s="40"/>
    </row>
    <row r="25" spans="1:16" ht="15">
      <c r="A25" s="63">
        <v>21</v>
      </c>
      <c r="B25" s="78">
        <v>42552</v>
      </c>
      <c r="C25" s="52">
        <v>42588</v>
      </c>
      <c r="D25" s="64">
        <v>42618</v>
      </c>
      <c r="E25" s="63">
        <f t="shared" si="1"/>
        <v>31</v>
      </c>
      <c r="F25" s="55">
        <v>0.12</v>
      </c>
      <c r="G25" s="66">
        <f>+Umanjenje!E$12</f>
        <v>6787.77</v>
      </c>
      <c r="H25" s="57">
        <f>+H24+G25</f>
        <v>130356.89000000003</v>
      </c>
      <c r="I25" s="79">
        <f t="shared" si="0"/>
        <v>1328.57</v>
      </c>
      <c r="J25" s="59"/>
      <c r="K25" s="59"/>
      <c r="L25" s="59"/>
      <c r="M25" s="61"/>
      <c r="N25" s="58"/>
      <c r="P25" s="40"/>
    </row>
    <row r="26" spans="1:16" ht="15">
      <c r="A26" s="63">
        <v>22</v>
      </c>
      <c r="B26" s="78">
        <v>42583</v>
      </c>
      <c r="C26" s="52">
        <v>42619</v>
      </c>
      <c r="D26" s="64">
        <v>42648</v>
      </c>
      <c r="E26" s="63">
        <f t="shared" si="1"/>
        <v>30</v>
      </c>
      <c r="F26" s="55">
        <v>0.12</v>
      </c>
      <c r="G26" s="66">
        <f>+Umanjenje!E$12</f>
        <v>6787.77</v>
      </c>
      <c r="H26" s="57">
        <f>+H25+G26</f>
        <v>137144.66000000003</v>
      </c>
      <c r="I26" s="79">
        <f t="shared" si="0"/>
        <v>1352.66</v>
      </c>
      <c r="J26" s="59"/>
      <c r="K26" s="59"/>
      <c r="L26" s="59"/>
      <c r="M26" s="61"/>
      <c r="N26" s="58"/>
      <c r="P26" s="40"/>
    </row>
    <row r="27" spans="1:16" ht="15">
      <c r="A27" s="63">
        <v>23</v>
      </c>
      <c r="B27" s="78">
        <v>42614</v>
      </c>
      <c r="C27" s="52">
        <v>42649</v>
      </c>
      <c r="D27" s="64">
        <v>42679</v>
      </c>
      <c r="E27" s="63">
        <f t="shared" si="1"/>
        <v>31</v>
      </c>
      <c r="F27" s="55">
        <v>0.12</v>
      </c>
      <c r="G27" s="66">
        <f>+Umanjenje!E$12</f>
        <v>6787.77</v>
      </c>
      <c r="H27" s="57">
        <f>+H26+G27</f>
        <v>143932.43000000002</v>
      </c>
      <c r="I27" s="79">
        <f t="shared" si="0"/>
        <v>1466.93</v>
      </c>
      <c r="J27" s="59"/>
      <c r="K27" s="59"/>
      <c r="L27" s="59"/>
      <c r="M27" s="61"/>
      <c r="N27" s="58"/>
      <c r="P27" s="40"/>
    </row>
    <row r="28" spans="1:16" ht="15">
      <c r="A28" s="63">
        <v>24</v>
      </c>
      <c r="B28" s="78">
        <v>42644</v>
      </c>
      <c r="C28" s="52">
        <v>42680</v>
      </c>
      <c r="D28" s="64">
        <v>42709</v>
      </c>
      <c r="E28" s="63">
        <f t="shared" si="1"/>
        <v>30</v>
      </c>
      <c r="F28" s="55">
        <v>0.12</v>
      </c>
      <c r="G28" s="66">
        <f>+Umanjenje!E$12</f>
        <v>6787.77</v>
      </c>
      <c r="H28" s="57">
        <f>+H27+G28</f>
        <v>150720.2</v>
      </c>
      <c r="I28" s="79">
        <f t="shared" si="0"/>
        <v>1486.56</v>
      </c>
      <c r="J28" s="59"/>
      <c r="K28" s="59"/>
      <c r="L28" s="59"/>
      <c r="M28" s="61"/>
      <c r="N28" s="60"/>
      <c r="P28" s="40"/>
    </row>
    <row r="29" spans="1:16" ht="15">
      <c r="A29" s="63">
        <v>25</v>
      </c>
      <c r="B29" s="78">
        <v>42675</v>
      </c>
      <c r="C29" s="52">
        <v>42710</v>
      </c>
      <c r="D29" s="64">
        <v>42740</v>
      </c>
      <c r="E29" s="63">
        <f t="shared" si="1"/>
        <v>31</v>
      </c>
      <c r="F29" s="55">
        <v>0.12</v>
      </c>
      <c r="G29" s="66">
        <f>+Umanjenje!E$12</f>
        <v>6787.77</v>
      </c>
      <c r="H29" s="57">
        <f>+H28+G29</f>
        <v>157507.97</v>
      </c>
      <c r="I29" s="79">
        <f t="shared" si="0"/>
        <v>1605.29</v>
      </c>
      <c r="J29" s="59"/>
      <c r="K29" s="59"/>
      <c r="L29" s="59"/>
      <c r="M29" s="61"/>
      <c r="N29" s="60"/>
      <c r="P29" s="40"/>
    </row>
    <row r="30" spans="1:16" ht="15">
      <c r="A30" s="63">
        <v>26</v>
      </c>
      <c r="B30" s="78">
        <v>42705</v>
      </c>
      <c r="C30" s="52">
        <v>42741</v>
      </c>
      <c r="D30" s="64">
        <v>42771</v>
      </c>
      <c r="E30" s="63">
        <f t="shared" si="1"/>
        <v>31</v>
      </c>
      <c r="F30" s="55">
        <v>0.12</v>
      </c>
      <c r="G30" s="67">
        <f>+Umanjenje!F$12</f>
        <v>6889.58</v>
      </c>
      <c r="H30" s="57">
        <f>+H29+G30</f>
        <v>164397.55</v>
      </c>
      <c r="I30" s="79">
        <f t="shared" si="0"/>
        <v>1675.5</v>
      </c>
      <c r="J30" s="59"/>
      <c r="K30" s="59"/>
      <c r="L30" s="59"/>
      <c r="M30" s="61"/>
      <c r="N30" s="60"/>
      <c r="P30" s="40"/>
    </row>
    <row r="31" spans="1:16" ht="15">
      <c r="A31" s="63">
        <v>27</v>
      </c>
      <c r="B31" s="78">
        <v>42736</v>
      </c>
      <c r="C31" s="52">
        <v>42772</v>
      </c>
      <c r="D31" s="64">
        <v>42799</v>
      </c>
      <c r="E31" s="63">
        <f t="shared" si="1"/>
        <v>28</v>
      </c>
      <c r="F31" s="55">
        <v>0.12</v>
      </c>
      <c r="G31" s="67">
        <f>+Umanjenje!F$12</f>
        <v>6889.58</v>
      </c>
      <c r="H31" s="57">
        <f aca="true" t="shared" si="3" ref="H31:H38">+H30+G31</f>
        <v>171287.12999999998</v>
      </c>
      <c r="I31" s="79">
        <f t="shared" si="0"/>
        <v>1576.78</v>
      </c>
      <c r="J31" s="59"/>
      <c r="K31" s="59"/>
      <c r="L31" s="59"/>
      <c r="M31" s="61"/>
      <c r="N31" s="60"/>
      <c r="P31" s="40"/>
    </row>
    <row r="32" spans="1:16" ht="15">
      <c r="A32" s="63">
        <v>28</v>
      </c>
      <c r="B32" s="78">
        <v>42767</v>
      </c>
      <c r="C32" s="52">
        <v>42800</v>
      </c>
      <c r="D32" s="64">
        <v>42830</v>
      </c>
      <c r="E32" s="63">
        <f t="shared" si="1"/>
        <v>31</v>
      </c>
      <c r="F32" s="55">
        <v>0.12</v>
      </c>
      <c r="G32" s="67">
        <f>+Umanjenje!F$12</f>
        <v>6889.58</v>
      </c>
      <c r="H32" s="57">
        <f t="shared" si="3"/>
        <v>178176.70999999996</v>
      </c>
      <c r="I32" s="79">
        <f t="shared" si="0"/>
        <v>1815.94</v>
      </c>
      <c r="J32" s="59"/>
      <c r="K32" s="59"/>
      <c r="L32" s="59"/>
      <c r="M32" s="61"/>
      <c r="N32" s="60"/>
      <c r="P32" s="40"/>
    </row>
    <row r="33" spans="1:16" ht="15">
      <c r="A33" s="63">
        <v>29</v>
      </c>
      <c r="B33" s="78">
        <v>42795</v>
      </c>
      <c r="C33" s="52">
        <v>42831</v>
      </c>
      <c r="D33" s="64">
        <v>42860</v>
      </c>
      <c r="E33" s="63">
        <f t="shared" si="1"/>
        <v>30</v>
      </c>
      <c r="F33" s="55">
        <v>0.12</v>
      </c>
      <c r="G33" s="67">
        <f>+Umanjenje!F$12</f>
        <v>6889.58</v>
      </c>
      <c r="H33" s="57">
        <f t="shared" si="3"/>
        <v>185066.28999999995</v>
      </c>
      <c r="I33" s="79">
        <f t="shared" si="0"/>
        <v>1825.31</v>
      </c>
      <c r="J33" s="59"/>
      <c r="K33" s="59"/>
      <c r="L33" s="59"/>
      <c r="M33" s="61"/>
      <c r="N33" s="60"/>
      <c r="P33" s="40"/>
    </row>
    <row r="34" spans="1:16" ht="15">
      <c r="A34" s="63">
        <v>30</v>
      </c>
      <c r="B34" s="78">
        <v>42826</v>
      </c>
      <c r="C34" s="52">
        <v>42861</v>
      </c>
      <c r="D34" s="64">
        <v>42891</v>
      </c>
      <c r="E34" s="63">
        <f t="shared" si="1"/>
        <v>31</v>
      </c>
      <c r="F34" s="55">
        <v>0.12</v>
      </c>
      <c r="G34" s="67">
        <f>+Umanjenje!F$12</f>
        <v>6889.58</v>
      </c>
      <c r="H34" s="57">
        <f t="shared" si="3"/>
        <v>191955.86999999994</v>
      </c>
      <c r="I34" s="79">
        <f t="shared" si="0"/>
        <v>1956.37</v>
      </c>
      <c r="J34" s="59"/>
      <c r="K34" s="59"/>
      <c r="L34" s="59"/>
      <c r="M34" s="61"/>
      <c r="N34" s="60"/>
      <c r="P34" s="40"/>
    </row>
    <row r="35" spans="1:16" ht="15">
      <c r="A35" s="63">
        <v>31</v>
      </c>
      <c r="B35" s="78">
        <v>42856</v>
      </c>
      <c r="C35" s="52">
        <v>42892</v>
      </c>
      <c r="D35" s="64">
        <v>42921</v>
      </c>
      <c r="E35" s="63">
        <f t="shared" si="1"/>
        <v>30</v>
      </c>
      <c r="F35" s="55">
        <v>0.12</v>
      </c>
      <c r="G35" s="67">
        <f>+Umanjenje!F$12</f>
        <v>6889.58</v>
      </c>
      <c r="H35" s="57">
        <f t="shared" si="3"/>
        <v>198845.44999999992</v>
      </c>
      <c r="I35" s="79">
        <f t="shared" si="0"/>
        <v>1961.22</v>
      </c>
      <c r="J35" s="59"/>
      <c r="K35" s="59"/>
      <c r="L35" s="59"/>
      <c r="M35" s="61"/>
      <c r="N35" s="60"/>
      <c r="P35" s="40"/>
    </row>
    <row r="36" spans="1:16" ht="15">
      <c r="A36" s="63">
        <v>32</v>
      </c>
      <c r="B36" s="78">
        <v>42887</v>
      </c>
      <c r="C36" s="52">
        <v>42922</v>
      </c>
      <c r="D36" s="64">
        <v>42952</v>
      </c>
      <c r="E36" s="63">
        <f t="shared" si="1"/>
        <v>31</v>
      </c>
      <c r="F36" s="55">
        <v>0.12</v>
      </c>
      <c r="G36" s="67">
        <f>+Umanjenje!F$12</f>
        <v>6889.58</v>
      </c>
      <c r="H36" s="57">
        <f t="shared" si="3"/>
        <v>205735.0299999999</v>
      </c>
      <c r="I36" s="79">
        <f t="shared" si="0"/>
        <v>2096.81</v>
      </c>
      <c r="J36" s="59"/>
      <c r="K36" s="59"/>
      <c r="L36" s="59"/>
      <c r="M36" s="61"/>
      <c r="N36" s="60"/>
      <c r="P36" s="40"/>
    </row>
    <row r="37" spans="1:16" ht="15">
      <c r="A37" s="63">
        <v>33</v>
      </c>
      <c r="B37" s="78">
        <v>42917</v>
      </c>
      <c r="C37" s="52">
        <v>42953</v>
      </c>
      <c r="D37" s="64">
        <v>42983</v>
      </c>
      <c r="E37" s="63">
        <f t="shared" si="1"/>
        <v>31</v>
      </c>
      <c r="F37" s="55">
        <v>0.12</v>
      </c>
      <c r="G37" s="67">
        <f>+Umanjenje!F$12</f>
        <v>6889.58</v>
      </c>
      <c r="H37" s="57">
        <f t="shared" si="3"/>
        <v>212624.6099999999</v>
      </c>
      <c r="I37" s="79">
        <f t="shared" si="0"/>
        <v>2167.02</v>
      </c>
      <c r="J37" s="59"/>
      <c r="K37" s="59"/>
      <c r="L37" s="59"/>
      <c r="M37" s="61"/>
      <c r="N37" s="60"/>
      <c r="P37" s="40"/>
    </row>
    <row r="38" spans="1:16" ht="15">
      <c r="A38" s="63">
        <v>34</v>
      </c>
      <c r="B38" s="78">
        <v>42948</v>
      </c>
      <c r="C38" s="52">
        <v>42984</v>
      </c>
      <c r="D38" s="64">
        <v>42985</v>
      </c>
      <c r="E38" s="63">
        <f t="shared" si="1"/>
        <v>2</v>
      </c>
      <c r="F38" s="55">
        <v>0.12</v>
      </c>
      <c r="G38" s="67">
        <f>+Umanjenje!F$12</f>
        <v>6889.58</v>
      </c>
      <c r="H38" s="57">
        <f t="shared" si="3"/>
        <v>219514.1899999999</v>
      </c>
      <c r="I38" s="79">
        <f t="shared" si="0"/>
        <v>144.34</v>
      </c>
      <c r="J38" s="64">
        <v>42986</v>
      </c>
      <c r="K38" s="64">
        <v>43013</v>
      </c>
      <c r="L38" s="54">
        <f>+K38-J38+1</f>
        <v>28</v>
      </c>
      <c r="M38" s="61">
        <v>0.1175</v>
      </c>
      <c r="N38" s="79">
        <f>ROUND(L38*M38*H38/365,2)</f>
        <v>1978.63</v>
      </c>
      <c r="P38" s="40"/>
    </row>
    <row r="39" spans="1:16" ht="15">
      <c r="A39" s="63">
        <v>35</v>
      </c>
      <c r="B39" s="78">
        <v>42979</v>
      </c>
      <c r="C39" s="52">
        <v>43014</v>
      </c>
      <c r="D39" s="64">
        <v>43017</v>
      </c>
      <c r="E39" s="63">
        <f t="shared" si="1"/>
        <v>4</v>
      </c>
      <c r="F39" s="55">
        <v>0.1175</v>
      </c>
      <c r="G39" s="67">
        <f>+Umanjenje!F$12</f>
        <v>6889.58</v>
      </c>
      <c r="H39" s="57">
        <f>+H38+G39</f>
        <v>226403.76999999987</v>
      </c>
      <c r="I39" s="79">
        <f t="shared" si="0"/>
        <v>291.53</v>
      </c>
      <c r="J39" s="64">
        <v>43018</v>
      </c>
      <c r="K39" s="64">
        <v>43044</v>
      </c>
      <c r="L39" s="54">
        <f>+K39-J39+1</f>
        <v>27</v>
      </c>
      <c r="M39" s="61">
        <v>0.115</v>
      </c>
      <c r="N39" s="79">
        <f>ROUND(L39*M39*H39/365,2)</f>
        <v>1925.98</v>
      </c>
      <c r="P39" s="40"/>
    </row>
    <row r="40" spans="1:16" ht="15">
      <c r="A40" s="63">
        <v>36</v>
      </c>
      <c r="B40" s="78">
        <v>43009</v>
      </c>
      <c r="C40" s="52">
        <v>43045</v>
      </c>
      <c r="D40" s="64"/>
      <c r="E40" s="63"/>
      <c r="F40" s="55">
        <v>0.115</v>
      </c>
      <c r="G40" s="67"/>
      <c r="H40" s="57"/>
      <c r="I40" s="79"/>
      <c r="J40" s="59"/>
      <c r="K40" s="59"/>
      <c r="L40" s="59"/>
      <c r="M40" s="61"/>
      <c r="N40" s="59"/>
      <c r="P40" s="40"/>
    </row>
    <row r="41" spans="1:16" ht="15">
      <c r="A41" s="63">
        <v>37</v>
      </c>
      <c r="B41" s="78">
        <v>43040</v>
      </c>
      <c r="C41" s="75"/>
      <c r="D41" s="63"/>
      <c r="E41" s="76"/>
      <c r="F41" s="59"/>
      <c r="G41" s="59"/>
      <c r="H41" s="77"/>
      <c r="I41" s="79"/>
      <c r="J41" s="59"/>
      <c r="K41" s="59"/>
      <c r="L41" s="59"/>
      <c r="M41" s="59"/>
      <c r="N41" s="59"/>
      <c r="P41" s="40"/>
    </row>
    <row r="42" spans="1:16" ht="15">
      <c r="A42" s="63">
        <v>38</v>
      </c>
      <c r="B42" s="78">
        <v>43070</v>
      </c>
      <c r="C42" s="75"/>
      <c r="D42" s="63"/>
      <c r="E42" s="76"/>
      <c r="F42" s="59"/>
      <c r="G42" s="59"/>
      <c r="H42" s="77"/>
      <c r="I42" s="79"/>
      <c r="J42" s="59"/>
      <c r="K42" s="59"/>
      <c r="L42" s="59"/>
      <c r="M42" s="59"/>
      <c r="N42" s="59"/>
      <c r="P42" s="40"/>
    </row>
    <row r="43" spans="1:16" ht="15">
      <c r="A43" s="63">
        <v>39</v>
      </c>
      <c r="B43" s="78">
        <v>43101</v>
      </c>
      <c r="C43" s="75"/>
      <c r="D43" s="63"/>
      <c r="E43" s="76"/>
      <c r="F43" s="59"/>
      <c r="G43" s="59"/>
      <c r="H43" s="77"/>
      <c r="I43" s="79"/>
      <c r="J43" s="59"/>
      <c r="K43" s="59"/>
      <c r="L43" s="59"/>
      <c r="M43" s="59"/>
      <c r="N43" s="59"/>
      <c r="P43" s="40"/>
    </row>
    <row r="44" spans="1:16" ht="15">
      <c r="A44" s="63">
        <v>40</v>
      </c>
      <c r="B44" s="78">
        <v>43132</v>
      </c>
      <c r="C44" s="75"/>
      <c r="D44" s="63"/>
      <c r="E44" s="76"/>
      <c r="F44" s="59"/>
      <c r="G44" s="59"/>
      <c r="H44" s="77"/>
      <c r="I44" s="79"/>
      <c r="J44" s="59"/>
      <c r="K44" s="59"/>
      <c r="L44" s="59"/>
      <c r="M44" s="59"/>
      <c r="N44" s="59"/>
      <c r="P44" s="40"/>
    </row>
    <row r="45" spans="1:16" ht="15">
      <c r="A45" s="45"/>
      <c r="B45" s="85"/>
      <c r="C45" s="68"/>
      <c r="D45" s="45"/>
      <c r="E45" s="69"/>
      <c r="F45" s="46"/>
      <c r="G45" s="46"/>
      <c r="H45" s="81"/>
      <c r="I45" s="48"/>
      <c r="J45" s="46"/>
      <c r="K45" s="46"/>
      <c r="L45" s="46"/>
      <c r="M45" s="46"/>
      <c r="N45" s="46"/>
      <c r="P45" s="40"/>
    </row>
    <row r="46" spans="2:16" ht="15">
      <c r="B46" s="46"/>
      <c r="C46" s="68"/>
      <c r="D46" s="45"/>
      <c r="E46" s="69"/>
      <c r="F46" s="46"/>
      <c r="G46" s="46"/>
      <c r="H46" s="81"/>
      <c r="I46" s="48"/>
      <c r="J46" s="46"/>
      <c r="K46" s="46"/>
      <c r="L46" s="46"/>
      <c r="M46" s="46"/>
      <c r="N46" s="46"/>
      <c r="P46" s="40"/>
    </row>
    <row r="47" spans="3:16" ht="15">
      <c r="C47" s="68"/>
      <c r="D47" s="45"/>
      <c r="E47" s="69"/>
      <c r="H47" s="83" t="s">
        <v>20</v>
      </c>
      <c r="I47" s="84" t="s">
        <v>18</v>
      </c>
      <c r="M47" s="40"/>
      <c r="P47" s="40"/>
    </row>
    <row r="48" spans="3:16" ht="15">
      <c r="C48" s="68"/>
      <c r="D48" s="45"/>
      <c r="E48" s="69"/>
      <c r="H48" s="79">
        <f>MAX(H5:H44)</f>
        <v>226403.76999999987</v>
      </c>
      <c r="I48" s="82">
        <f>SUM(I5:I44,N5:N44)</f>
        <v>40042.36</v>
      </c>
      <c r="J48" s="80"/>
      <c r="M48" s="40"/>
      <c r="P48" s="40"/>
    </row>
    <row r="49" spans="3:16" ht="15">
      <c r="C49" s="68"/>
      <c r="D49" s="45"/>
      <c r="E49" s="69"/>
      <c r="H49" s="43"/>
      <c r="I49" s="86">
        <f>+I48/H48</f>
        <v>0.17686260259712117</v>
      </c>
      <c r="M49" s="40"/>
      <c r="P49" s="40"/>
    </row>
    <row r="50" spans="3:16" ht="15">
      <c r="C50" s="68"/>
      <c r="D50" s="45"/>
      <c r="E50" s="69"/>
      <c r="H50" s="43"/>
      <c r="M50" s="40"/>
      <c r="P50" s="40"/>
    </row>
    <row r="51" spans="3:16" ht="15">
      <c r="C51" s="68"/>
      <c r="D51" s="45"/>
      <c r="E51" s="69"/>
      <c r="H51" s="43"/>
      <c r="I51" s="70"/>
      <c r="M51" s="40"/>
      <c r="P51" s="40"/>
    </row>
    <row r="52" spans="3:16" ht="15">
      <c r="C52" s="68"/>
      <c r="D52" s="45"/>
      <c r="E52" s="69"/>
      <c r="H52" s="43"/>
      <c r="M52" s="40"/>
      <c r="P52" s="40"/>
    </row>
    <row r="53" spans="3:16" ht="15">
      <c r="C53" s="68"/>
      <c r="D53" s="45"/>
      <c r="E53" s="69"/>
      <c r="H53" s="43"/>
      <c r="M53" s="40"/>
      <c r="P53" s="40"/>
    </row>
    <row r="54" spans="3:16" ht="15">
      <c r="C54" s="68"/>
      <c r="D54" s="45"/>
      <c r="E54" s="69"/>
      <c r="H54" s="43"/>
      <c r="M54" s="40"/>
      <c r="P54" s="40"/>
    </row>
    <row r="55" spans="3:16" ht="15">
      <c r="C55" s="68"/>
      <c r="D55" s="45"/>
      <c r="E55" s="69"/>
      <c r="H55" s="43"/>
      <c r="M55" s="40"/>
      <c r="P55" s="40"/>
    </row>
    <row r="56" spans="3:16" ht="15">
      <c r="C56" s="68"/>
      <c r="D56" s="45"/>
      <c r="E56" s="69"/>
      <c r="H56" s="43"/>
      <c r="M56" s="40"/>
      <c r="P56" s="40"/>
    </row>
    <row r="57" spans="3:16" ht="15">
      <c r="C57" s="70"/>
      <c r="E57" s="42"/>
      <c r="H57" s="43"/>
      <c r="M57" s="40"/>
      <c r="P57" s="40"/>
    </row>
    <row r="58" spans="5:16" ht="15">
      <c r="E58" s="42"/>
      <c r="H58" s="43"/>
      <c r="M58" s="40"/>
      <c r="P58" s="40"/>
    </row>
    <row r="59" spans="5:16" ht="15">
      <c r="E59" s="42"/>
      <c r="H59" s="43"/>
      <c r="M59" s="40"/>
      <c r="P59" s="40"/>
    </row>
    <row r="60" spans="5:16" ht="15">
      <c r="E60" s="42"/>
      <c r="H60" s="43"/>
      <c r="M60" s="40"/>
      <c r="P60" s="40"/>
    </row>
    <row r="61" spans="5:16" ht="15">
      <c r="E61" s="42"/>
      <c r="H61" s="43"/>
      <c r="M61" s="40"/>
      <c r="P61" s="40"/>
    </row>
    <row r="62" spans="5:16" ht="15">
      <c r="E62" s="42"/>
      <c r="H62" s="43"/>
      <c r="M62" s="40"/>
      <c r="P62" s="40"/>
    </row>
    <row r="63" spans="5:16" ht="15">
      <c r="E63" s="42"/>
      <c r="H63" s="43"/>
      <c r="M63" s="40"/>
      <c r="P63" s="40"/>
    </row>
    <row r="64" spans="5:16" ht="15">
      <c r="E64" s="42"/>
      <c r="H64" s="43"/>
      <c r="M64" s="40"/>
      <c r="P64" s="40"/>
    </row>
    <row r="65" spans="5:16" ht="15">
      <c r="E65" s="42"/>
      <c r="H65" s="43"/>
      <c r="M65" s="40"/>
      <c r="P65" s="40"/>
    </row>
    <row r="66" spans="4:9" ht="15">
      <c r="D66" s="71"/>
      <c r="E66" s="38"/>
      <c r="F66" s="37"/>
      <c r="G66" s="37"/>
      <c r="H66" s="72"/>
      <c r="I66" s="47"/>
    </row>
    <row r="67" spans="4:9" ht="15">
      <c r="D67" s="37"/>
      <c r="E67" s="38"/>
      <c r="F67" s="73"/>
      <c r="G67" s="73"/>
      <c r="H67" s="73"/>
      <c r="I67" s="47"/>
    </row>
    <row r="68" spans="4:9" ht="15">
      <c r="D68" s="71"/>
      <c r="E68" s="38"/>
      <c r="F68" s="37"/>
      <c r="G68" s="37"/>
      <c r="H68" s="72"/>
      <c r="I68" s="47"/>
    </row>
    <row r="69" spans="4:9" ht="15">
      <c r="D69" s="37"/>
      <c r="E69" s="38"/>
      <c r="F69" s="73"/>
      <c r="G69" s="73"/>
      <c r="H69" s="73"/>
      <c r="I69" s="47"/>
    </row>
    <row r="70" spans="4:9" ht="15">
      <c r="D70" s="71"/>
      <c r="E70" s="38"/>
      <c r="F70" s="37"/>
      <c r="G70" s="37"/>
      <c r="H70" s="72"/>
      <c r="I70" s="47"/>
    </row>
    <row r="71" spans="4:9" ht="15">
      <c r="D71" s="37"/>
      <c r="E71" s="38"/>
      <c r="F71" s="73"/>
      <c r="G71" s="73"/>
      <c r="H71" s="73"/>
      <c r="I71" s="47"/>
    </row>
    <row r="72" spans="4:9" ht="15">
      <c r="D72" s="71"/>
      <c r="E72" s="38"/>
      <c r="F72" s="37"/>
      <c r="G72" s="37"/>
      <c r="H72" s="72"/>
      <c r="I72" s="47"/>
    </row>
    <row r="73" spans="4:9" ht="15">
      <c r="D73" s="37"/>
      <c r="E73" s="38"/>
      <c r="F73" s="73"/>
      <c r="G73" s="73"/>
      <c r="H73" s="73"/>
      <c r="I73" s="47"/>
    </row>
    <row r="74" spans="4:9" ht="15">
      <c r="D74" s="71"/>
      <c r="E74" s="38"/>
      <c r="F74" s="37"/>
      <c r="G74" s="37"/>
      <c r="H74" s="72"/>
      <c r="I74" s="47"/>
    </row>
    <row r="75" spans="4:9" ht="15">
      <c r="D75" s="37"/>
      <c r="E75" s="38"/>
      <c r="F75" s="73"/>
      <c r="G75" s="73"/>
      <c r="H75" s="73"/>
      <c r="I75" s="47"/>
    </row>
    <row r="76" spans="4:9" ht="15">
      <c r="D76" s="71"/>
      <c r="E76" s="38"/>
      <c r="F76" s="37"/>
      <c r="G76" s="37"/>
      <c r="H76" s="72"/>
      <c r="I76" s="47"/>
    </row>
    <row r="77" spans="4:9" ht="15">
      <c r="D77" s="37"/>
      <c r="E77" s="38"/>
      <c r="F77" s="73"/>
      <c r="G77" s="73"/>
      <c r="H77" s="73"/>
      <c r="I77" s="47"/>
    </row>
    <row r="78" spans="4:9" ht="15">
      <c r="D78" s="71"/>
      <c r="E78" s="38"/>
      <c r="F78" s="37"/>
      <c r="G78" s="37"/>
      <c r="H78" s="72"/>
      <c r="I78" s="47"/>
    </row>
    <row r="79" spans="4:9" ht="15">
      <c r="D79" s="37"/>
      <c r="E79" s="38"/>
      <c r="F79" s="73"/>
      <c r="G79" s="73"/>
      <c r="H79" s="73"/>
      <c r="I79" s="47"/>
    </row>
    <row r="80" spans="4:9" ht="15">
      <c r="D80" s="71"/>
      <c r="E80" s="38"/>
      <c r="F80" s="37"/>
      <c r="G80" s="37"/>
      <c r="H80" s="72"/>
      <c r="I80" s="47"/>
    </row>
    <row r="81" spans="4:9" ht="15">
      <c r="D81" s="37"/>
      <c r="E81" s="38"/>
      <c r="F81" s="73"/>
      <c r="G81" s="73"/>
      <c r="H81" s="73"/>
      <c r="I81" s="47"/>
    </row>
    <row r="82" spans="4:9" ht="15">
      <c r="D82" s="71"/>
      <c r="E82" s="38"/>
      <c r="F82" s="37"/>
      <c r="G82" s="37"/>
      <c r="H82" s="72"/>
      <c r="I82" s="47"/>
    </row>
    <row r="83" spans="4:9" ht="15">
      <c r="D83" s="37"/>
      <c r="E83" s="38"/>
      <c r="F83" s="73"/>
      <c r="G83" s="73"/>
      <c r="H83" s="73"/>
      <c r="I83" s="47"/>
    </row>
    <row r="84" spans="4:9" ht="15">
      <c r="D84" s="71"/>
      <c r="E84" s="38"/>
      <c r="F84" s="37"/>
      <c r="G84" s="37"/>
      <c r="H84" s="72"/>
      <c r="I84" s="47"/>
    </row>
    <row r="85" spans="4:9" ht="15">
      <c r="D85" s="37"/>
      <c r="E85" s="38"/>
      <c r="F85" s="73"/>
      <c r="G85" s="73"/>
      <c r="H85" s="73"/>
      <c r="I85" s="47"/>
    </row>
    <row r="86" spans="4:9" ht="15">
      <c r="D86" s="71"/>
      <c r="E86" s="38"/>
      <c r="F86" s="37"/>
      <c r="G86" s="37"/>
      <c r="H86" s="72"/>
      <c r="I86" s="47"/>
    </row>
    <row r="87" spans="4:9" ht="15">
      <c r="D87" s="37"/>
      <c r="E87" s="38"/>
      <c r="F87" s="73"/>
      <c r="G87" s="73"/>
      <c r="H87" s="73"/>
      <c r="I87" s="47"/>
    </row>
    <row r="88" spans="4:9" ht="15">
      <c r="D88" s="71"/>
      <c r="E88" s="38"/>
      <c r="F88" s="37"/>
      <c r="G88" s="37"/>
      <c r="H88" s="72"/>
      <c r="I88" s="47"/>
    </row>
    <row r="89" spans="4:9" ht="15">
      <c r="D89" s="37"/>
      <c r="E89" s="38"/>
      <c r="F89" s="73"/>
      <c r="G89" s="73"/>
      <c r="H89" s="73"/>
      <c r="I89" s="47"/>
    </row>
    <row r="90" spans="4:9" ht="15">
      <c r="D90" s="71"/>
      <c r="E90" s="38"/>
      <c r="F90" s="37"/>
      <c r="G90" s="37"/>
      <c r="H90" s="72"/>
      <c r="I90" s="47"/>
    </row>
    <row r="91" spans="4:9" ht="15">
      <c r="D91" s="37"/>
      <c r="E91" s="38"/>
      <c r="F91" s="73"/>
      <c r="G91" s="73"/>
      <c r="H91" s="73"/>
      <c r="I91" s="47"/>
    </row>
    <row r="92" spans="4:9" ht="15">
      <c r="D92" s="71"/>
      <c r="E92" s="38"/>
      <c r="F92" s="37"/>
      <c r="G92" s="37"/>
      <c r="H92" s="72"/>
      <c r="I92" s="47"/>
    </row>
    <row r="93" spans="4:9" ht="15">
      <c r="D93" s="37"/>
      <c r="E93" s="38"/>
      <c r="F93" s="73"/>
      <c r="G93" s="73"/>
      <c r="H93" s="73"/>
      <c r="I93" s="47"/>
    </row>
    <row r="94" spans="4:9" ht="15">
      <c r="D94" s="71"/>
      <c r="E94" s="38"/>
      <c r="F94" s="37"/>
      <c r="G94" s="37"/>
      <c r="H94" s="72"/>
      <c r="I94" s="47"/>
    </row>
    <row r="95" spans="4:9" ht="15">
      <c r="D95" s="37"/>
      <c r="E95" s="38"/>
      <c r="F95" s="73"/>
      <c r="G95" s="73"/>
      <c r="H95" s="73"/>
      <c r="I95" s="47"/>
    </row>
    <row r="96" spans="4:9" ht="15">
      <c r="D96" s="71"/>
      <c r="E96" s="38"/>
      <c r="F96" s="37"/>
      <c r="G96" s="37"/>
      <c r="H96" s="72"/>
      <c r="I96" s="47"/>
    </row>
    <row r="97" spans="4:9" ht="15">
      <c r="D97" s="37"/>
      <c r="E97" s="38"/>
      <c r="F97" s="73"/>
      <c r="G97" s="73"/>
      <c r="H97" s="73"/>
      <c r="I97" s="47"/>
    </row>
    <row r="98" spans="4:9" ht="15">
      <c r="D98" s="71"/>
      <c r="E98" s="38"/>
      <c r="F98" s="37"/>
      <c r="G98" s="37"/>
      <c r="H98" s="72"/>
      <c r="I98" s="47"/>
    </row>
    <row r="99" spans="4:9" ht="15">
      <c r="D99" s="37"/>
      <c r="E99" s="38"/>
      <c r="I99" s="47"/>
    </row>
    <row r="100" spans="4:9" ht="15">
      <c r="D100" s="37"/>
      <c r="E100" s="38"/>
      <c r="I100" s="47"/>
    </row>
    <row r="101" spans="4:9" ht="15">
      <c r="D101" s="37"/>
      <c r="E101" s="38"/>
      <c r="I101" s="47"/>
    </row>
    <row r="102" spans="4:9" ht="15">
      <c r="D102" s="37"/>
      <c r="E102" s="38"/>
      <c r="I102" s="47"/>
    </row>
    <row r="103" spans="4:9" ht="15">
      <c r="D103" s="37"/>
      <c r="E103" s="38"/>
      <c r="I103" s="47"/>
    </row>
    <row r="104" spans="4:9" ht="15">
      <c r="D104" s="37"/>
      <c r="E104" s="38"/>
      <c r="I104" s="47"/>
    </row>
    <row r="105" spans="4:9" ht="15">
      <c r="D105" s="37"/>
      <c r="E105" s="38"/>
      <c r="I105" s="47"/>
    </row>
    <row r="106" spans="4:9" ht="15">
      <c r="D106" s="37"/>
      <c r="E106" s="38"/>
      <c r="I106" s="47"/>
    </row>
    <row r="107" spans="4:9" ht="15">
      <c r="D107" s="37"/>
      <c r="E107" s="38"/>
      <c r="I107" s="47"/>
    </row>
    <row r="108" spans="4:9" ht="15">
      <c r="D108" s="37"/>
      <c r="E108" s="38"/>
      <c r="I108" s="47"/>
    </row>
    <row r="109" spans="4:9" ht="15">
      <c r="D109" s="37"/>
      <c r="E109" s="38"/>
      <c r="I109" s="47"/>
    </row>
    <row r="110" spans="4:9" ht="15">
      <c r="D110" s="37"/>
      <c r="E110" s="38"/>
      <c r="I110" s="47"/>
    </row>
    <row r="111" spans="4:9" ht="15">
      <c r="D111" s="37"/>
      <c r="E111" s="38"/>
      <c r="I111" s="47"/>
    </row>
    <row r="112" spans="4:9" ht="15">
      <c r="D112" s="37"/>
      <c r="E112" s="38"/>
      <c r="I112" s="47"/>
    </row>
    <row r="113" spans="4:9" ht="15">
      <c r="D113" s="37"/>
      <c r="E113" s="38"/>
      <c r="I113" s="47"/>
    </row>
    <row r="114" spans="4:9" ht="15">
      <c r="D114" s="37"/>
      <c r="E114" s="38"/>
      <c r="I114" s="47"/>
    </row>
    <row r="115" spans="4:9" ht="15">
      <c r="D115" s="37"/>
      <c r="E115" s="38"/>
      <c r="I115" s="47"/>
    </row>
    <row r="116" spans="4:9" ht="15">
      <c r="D116" s="37"/>
      <c r="E116" s="38"/>
      <c r="I116" s="47"/>
    </row>
    <row r="117" spans="4:9" ht="15">
      <c r="D117" s="37"/>
      <c r="E117" s="38"/>
      <c r="I117" s="47"/>
    </row>
    <row r="118" spans="4:9" ht="15">
      <c r="D118" s="37"/>
      <c r="E118" s="38"/>
      <c r="I118" s="47"/>
    </row>
    <row r="119" spans="4:9" ht="15">
      <c r="D119" s="37"/>
      <c r="E119" s="38"/>
      <c r="I119" s="47"/>
    </row>
    <row r="120" spans="4:9" ht="15">
      <c r="D120" s="37"/>
      <c r="E120" s="38"/>
      <c r="I120" s="47"/>
    </row>
    <row r="121" spans="4:9" ht="15">
      <c r="D121" s="37"/>
      <c r="E121" s="38"/>
      <c r="I121" s="47"/>
    </row>
    <row r="122" spans="4:9" ht="15">
      <c r="D122" s="37"/>
      <c r="E122" s="38"/>
      <c r="I122" s="47"/>
    </row>
    <row r="123" spans="4:9" ht="15">
      <c r="D123" s="37"/>
      <c r="E123" s="38"/>
      <c r="I123" s="47"/>
    </row>
    <row r="124" spans="4:9" ht="15">
      <c r="D124" s="37"/>
      <c r="E124" s="38"/>
      <c r="I124" s="47"/>
    </row>
    <row r="125" spans="4:9" ht="15">
      <c r="D125" s="37"/>
      <c r="E125" s="38"/>
      <c r="I125" s="47"/>
    </row>
    <row r="126" spans="4:9" ht="15">
      <c r="D126" s="37"/>
      <c r="E126" s="38"/>
      <c r="I126" s="47"/>
    </row>
    <row r="127" spans="4:9" ht="15">
      <c r="D127" s="37"/>
      <c r="E127" s="38"/>
      <c r="I127" s="47"/>
    </row>
    <row r="128" spans="4:9" ht="15">
      <c r="D128" s="37"/>
      <c r="E128" s="38"/>
      <c r="I128" s="47"/>
    </row>
    <row r="129" spans="4:9" ht="15">
      <c r="D129" s="37"/>
      <c r="E129" s="38"/>
      <c r="I129" s="47"/>
    </row>
    <row r="130" spans="4:9" ht="15">
      <c r="D130" s="37"/>
      <c r="E130" s="38"/>
      <c r="I130" s="47"/>
    </row>
    <row r="131" spans="4:9" ht="15">
      <c r="D131" s="37"/>
      <c r="E131" s="38"/>
      <c r="I131" s="47"/>
    </row>
    <row r="132" spans="4:9" ht="15">
      <c r="D132" s="37"/>
      <c r="E132" s="38"/>
      <c r="I132" s="47"/>
    </row>
    <row r="133" spans="4:9" ht="15">
      <c r="D133" s="37"/>
      <c r="E133" s="38"/>
      <c r="I133" s="47"/>
    </row>
    <row r="134" spans="4:9" ht="15">
      <c r="D134" s="37"/>
      <c r="E134" s="38"/>
      <c r="I134" s="47"/>
    </row>
    <row r="135" spans="4:9" ht="15">
      <c r="D135" s="37"/>
      <c r="E135" s="38"/>
      <c r="I135" s="47"/>
    </row>
    <row r="136" spans="4:9" ht="15">
      <c r="D136" s="37"/>
      <c r="E136" s="38"/>
      <c r="I136" s="47"/>
    </row>
    <row r="137" spans="4:9" ht="15">
      <c r="D137" s="37"/>
      <c r="E137" s="38"/>
      <c r="I137" s="47"/>
    </row>
    <row r="138" spans="4:9" ht="15">
      <c r="D138" s="37"/>
      <c r="E138" s="38"/>
      <c r="I138" s="47"/>
    </row>
    <row r="139" spans="4:9" ht="15">
      <c r="D139" s="37"/>
      <c r="E139" s="38"/>
      <c r="I139" s="47"/>
    </row>
    <row r="140" spans="4:9" ht="15">
      <c r="D140" s="37"/>
      <c r="E140" s="38"/>
      <c r="I140" s="47"/>
    </row>
    <row r="141" spans="4:9" ht="15">
      <c r="D141" s="37"/>
      <c r="E141" s="38"/>
      <c r="I141" s="47"/>
    </row>
    <row r="142" spans="4:9" ht="15">
      <c r="D142" s="37"/>
      <c r="E142" s="38"/>
      <c r="I142" s="47"/>
    </row>
    <row r="143" spans="4:9" ht="15">
      <c r="D143" s="37"/>
      <c r="E143" s="38"/>
      <c r="I143" s="47"/>
    </row>
    <row r="144" spans="4:9" ht="15">
      <c r="D144" s="37"/>
      <c r="E144" s="38"/>
      <c r="I144" s="47"/>
    </row>
    <row r="145" spans="4:9" ht="15">
      <c r="D145" s="37"/>
      <c r="E145" s="38"/>
      <c r="I145" s="47"/>
    </row>
    <row r="146" spans="4:9" ht="15">
      <c r="D146" s="37"/>
      <c r="E146" s="38"/>
      <c r="I146" s="47"/>
    </row>
    <row r="147" spans="4:9" ht="15">
      <c r="D147" s="37"/>
      <c r="E147" s="38"/>
      <c r="I147" s="47"/>
    </row>
    <row r="148" spans="4:9" ht="15">
      <c r="D148" s="37"/>
      <c r="E148" s="38"/>
      <c r="I148" s="47"/>
    </row>
    <row r="149" spans="4:9" ht="15">
      <c r="D149" s="37"/>
      <c r="E149" s="38"/>
      <c r="I149" s="47"/>
    </row>
    <row r="150" spans="4:9" ht="15">
      <c r="D150" s="37"/>
      <c r="E150" s="38"/>
      <c r="I150" s="47"/>
    </row>
    <row r="151" spans="4:9" ht="15">
      <c r="D151" s="37"/>
      <c r="E151" s="38"/>
      <c r="I151" s="47"/>
    </row>
    <row r="152" spans="4:9" ht="15">
      <c r="D152" s="37"/>
      <c r="E152" s="38"/>
      <c r="I152" s="47"/>
    </row>
    <row r="153" spans="4:9" ht="15">
      <c r="D153" s="37"/>
      <c r="E153" s="38"/>
      <c r="I153" s="47"/>
    </row>
    <row r="154" spans="4:9" ht="15">
      <c r="D154" s="37"/>
      <c r="E154" s="38"/>
      <c r="I154" s="47"/>
    </row>
    <row r="155" spans="4:9" ht="15">
      <c r="D155" s="37"/>
      <c r="E155" s="38"/>
      <c r="I155" s="47"/>
    </row>
    <row r="156" spans="4:9" ht="15">
      <c r="D156" s="37"/>
      <c r="E156" s="38"/>
      <c r="I156" s="47"/>
    </row>
    <row r="157" spans="4:9" ht="15">
      <c r="D157" s="37"/>
      <c r="E157" s="38"/>
      <c r="I157" s="47"/>
    </row>
    <row r="158" spans="4:9" ht="15">
      <c r="D158" s="37"/>
      <c r="E158" s="38"/>
      <c r="I158" s="47"/>
    </row>
    <row r="159" spans="4:9" ht="15">
      <c r="D159" s="37"/>
      <c r="E159" s="38"/>
      <c r="I159" s="47"/>
    </row>
    <row r="160" spans="4:9" ht="15">
      <c r="D160" s="37"/>
      <c r="E160" s="38"/>
      <c r="I160" s="47"/>
    </row>
    <row r="161" spans="4:9" ht="15">
      <c r="D161" s="37"/>
      <c r="E161" s="38"/>
      <c r="I161" s="47"/>
    </row>
    <row r="162" spans="4:9" ht="15">
      <c r="D162" s="37"/>
      <c r="E162" s="38"/>
      <c r="I162" s="47"/>
    </row>
    <row r="163" spans="4:9" ht="15">
      <c r="D163" s="37"/>
      <c r="E163" s="38"/>
      <c r="I163" s="47"/>
    </row>
    <row r="164" spans="4:9" ht="15">
      <c r="D164" s="37"/>
      <c r="E164" s="38"/>
      <c r="I164" s="47"/>
    </row>
    <row r="165" spans="4:9" ht="15">
      <c r="D165" s="37"/>
      <c r="E165" s="38"/>
      <c r="I165" s="47"/>
    </row>
    <row r="166" spans="4:9" ht="15">
      <c r="D166" s="37"/>
      <c r="E166" s="38"/>
      <c r="I166" s="47"/>
    </row>
    <row r="167" spans="4:9" ht="15">
      <c r="D167" s="37"/>
      <c r="E167" s="38"/>
      <c r="I167" s="47"/>
    </row>
    <row r="168" spans="4:9" ht="15">
      <c r="D168" s="37"/>
      <c r="E168" s="38"/>
      <c r="I168" s="47"/>
    </row>
    <row r="169" spans="4:9" ht="15">
      <c r="D169" s="37"/>
      <c r="E169" s="38"/>
      <c r="I169" s="47"/>
    </row>
    <row r="170" spans="4:9" ht="15">
      <c r="D170" s="37"/>
      <c r="E170" s="38"/>
      <c r="I170" s="47"/>
    </row>
    <row r="171" spans="4:9" ht="15">
      <c r="D171" s="37"/>
      <c r="E171" s="38"/>
      <c r="I171" s="47"/>
    </row>
    <row r="172" spans="4:9" ht="15">
      <c r="D172" s="37"/>
      <c r="E172" s="38"/>
      <c r="I172" s="47"/>
    </row>
    <row r="173" spans="4:9" ht="15">
      <c r="D173" s="37"/>
      <c r="E173" s="38"/>
      <c r="I173" s="47"/>
    </row>
    <row r="174" spans="4:9" ht="15">
      <c r="D174" s="37"/>
      <c r="E174" s="38"/>
      <c r="I174" s="47"/>
    </row>
  </sheetData>
  <sheetProtection/>
  <mergeCells count="13">
    <mergeCell ref="C1:J1"/>
    <mergeCell ref="B3:B4"/>
    <mergeCell ref="A3:A4"/>
    <mergeCell ref="M3:M4"/>
    <mergeCell ref="N3:N4"/>
    <mergeCell ref="C3:D3"/>
    <mergeCell ref="E3:E4"/>
    <mergeCell ref="J3:K3"/>
    <mergeCell ref="L3:L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Jova</cp:lastModifiedBy>
  <dcterms:created xsi:type="dcterms:W3CDTF">2015-06-24T20:59:01Z</dcterms:created>
  <dcterms:modified xsi:type="dcterms:W3CDTF">2023-10-28T18:09:55Z</dcterms:modified>
  <cp:category/>
  <cp:version/>
  <cp:contentType/>
  <cp:contentStatus/>
</cp:coreProperties>
</file>